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Всего-дор" sheetId="4" r:id="rId1"/>
    <sheet name="Лист1" sheetId="5" r:id="rId2"/>
  </sheets>
  <definedNames>
    <definedName name="_xlnm._FilterDatabase" localSheetId="0" hidden="1">'Всего-дор'!$A$14:$AF$14</definedName>
    <definedName name="_xlnm.Print_Titles" localSheetId="0">'Всего-дор'!$14:$14</definedName>
    <definedName name="_xlnm.Print_Area" localSheetId="0">'Всего-дор'!$A$1:$AA$247</definedName>
  </definedNames>
  <calcPr calcId="152511"/>
</workbook>
</file>

<file path=xl/calcChain.xml><?xml version="1.0" encoding="utf-8"?>
<calcChain xmlns="http://schemas.openxmlformats.org/spreadsheetml/2006/main">
  <c r="V68" i="4" l="1"/>
  <c r="Z68" i="4"/>
  <c r="T68" i="4"/>
  <c r="Z65" i="4" l="1"/>
  <c r="Z24" i="4"/>
  <c r="U67" i="4"/>
  <c r="Z73" i="4" l="1"/>
  <c r="V73" i="4"/>
  <c r="V24" i="4" l="1"/>
  <c r="W24" i="4"/>
  <c r="X24" i="4"/>
  <c r="Y24" i="4"/>
  <c r="U24" i="4"/>
  <c r="T24" i="4"/>
  <c r="Y28" i="4"/>
  <c r="V28" i="4"/>
  <c r="W28" i="4"/>
  <c r="X28" i="4"/>
  <c r="U28" i="4"/>
  <c r="Z47" i="4"/>
  <c r="Z46" i="4"/>
  <c r="U45" i="4"/>
  <c r="Z45" i="4" s="1"/>
  <c r="U42" i="4"/>
  <c r="U32" i="4"/>
  <c r="U171" i="4"/>
  <c r="U164" i="4"/>
  <c r="U163" i="4"/>
  <c r="U226" i="4"/>
  <c r="U84" i="4"/>
  <c r="U218" i="4" l="1"/>
  <c r="U214" i="4"/>
  <c r="U200" i="4"/>
  <c r="U204" i="4"/>
  <c r="U212" i="4"/>
  <c r="U194" i="4"/>
  <c r="U189" i="4"/>
  <c r="U75" i="4"/>
  <c r="U69" i="4"/>
  <c r="V67" i="4" l="1"/>
  <c r="Z213" i="4" l="1"/>
  <c r="Z227" i="4" l="1"/>
  <c r="W82" i="4" l="1"/>
  <c r="W81" i="4"/>
  <c r="W75" i="4"/>
  <c r="U81" i="4" l="1"/>
  <c r="V84" i="4"/>
  <c r="V81" i="4" l="1"/>
  <c r="Z184" i="4"/>
  <c r="V75" i="4" l="1"/>
  <c r="Z185" i="4"/>
  <c r="Z183" i="4"/>
  <c r="Z181" i="4"/>
  <c r="Z179" i="4"/>
  <c r="Z177" i="4"/>
  <c r="Z175" i="4"/>
  <c r="Z182" i="4"/>
  <c r="Z180" i="4"/>
  <c r="Z178" i="4"/>
  <c r="Z176" i="4"/>
  <c r="Z174" i="4"/>
  <c r="Z202" i="4" l="1"/>
  <c r="Y66" i="4"/>
  <c r="X80" i="4"/>
  <c r="Z79" i="4"/>
  <c r="Z40" i="4" l="1"/>
  <c r="Z39" i="4"/>
  <c r="Z35" i="4" l="1"/>
  <c r="U19" i="4"/>
  <c r="W216" i="4" l="1"/>
  <c r="V216" i="4"/>
  <c r="U216" i="4"/>
  <c r="Z216" i="4" l="1"/>
  <c r="U172" i="4"/>
  <c r="U168" i="4"/>
  <c r="U160" i="4"/>
  <c r="U156" i="4"/>
  <c r="U152" i="4"/>
  <c r="U148" i="4"/>
  <c r="U224" i="4"/>
  <c r="U68" i="4" l="1"/>
  <c r="U167" i="4" l="1"/>
  <c r="U159" i="4"/>
  <c r="U155" i="4"/>
  <c r="U151" i="4" l="1"/>
  <c r="U147" i="4"/>
  <c r="U146" i="4" s="1"/>
  <c r="U25" i="4" l="1"/>
  <c r="W80" i="4" l="1"/>
  <c r="U26" i="4" l="1"/>
  <c r="U18" i="4" s="1"/>
  <c r="U170" i="4" l="1"/>
  <c r="Z173" i="4"/>
  <c r="Z172" i="4"/>
  <c r="Z171" i="4"/>
  <c r="Z169" i="4"/>
  <c r="Z168" i="4"/>
  <c r="Z167" i="4"/>
  <c r="U166" i="4"/>
  <c r="Z165" i="4"/>
  <c r="Z164" i="4"/>
  <c r="Z163" i="4"/>
  <c r="U162" i="4"/>
  <c r="Z161" i="4"/>
  <c r="Z160" i="4"/>
  <c r="Z159" i="4"/>
  <c r="U158" i="4"/>
  <c r="Z157" i="4"/>
  <c r="Z156" i="4"/>
  <c r="Z155" i="4"/>
  <c r="U154" i="4"/>
  <c r="Z153" i="4"/>
  <c r="Z152" i="4"/>
  <c r="Z151" i="4"/>
  <c r="U150" i="4"/>
  <c r="Z149" i="4"/>
  <c r="Z226" i="4"/>
  <c r="V228" i="4" l="1"/>
  <c r="U228" i="4"/>
  <c r="Z154" i="4"/>
  <c r="Z158" i="4"/>
  <c r="Z162" i="4"/>
  <c r="Z166" i="4"/>
  <c r="Z170" i="4"/>
  <c r="Z150" i="4"/>
  <c r="Z42" i="4"/>
  <c r="Z44" i="4"/>
  <c r="U43" i="4"/>
  <c r="U41" i="4" s="1"/>
  <c r="Z41" i="4" s="1"/>
  <c r="Z228" i="4" l="1"/>
  <c r="Z43" i="4"/>
  <c r="U31" i="4" l="1"/>
  <c r="T218" i="4" l="1"/>
  <c r="T214" i="4"/>
  <c r="T189" i="4"/>
  <c r="T82" i="4" l="1"/>
  <c r="T142" i="4" l="1"/>
  <c r="T137" i="4"/>
  <c r="T120" i="4"/>
  <c r="T99" i="4"/>
  <c r="T95" i="4"/>
  <c r="T81" i="4"/>
  <c r="T84" i="4"/>
  <c r="T75" i="4"/>
  <c r="T69" i="4"/>
  <c r="T194" i="4"/>
  <c r="T212" i="4"/>
  <c r="T221" i="4"/>
  <c r="T32" i="4"/>
  <c r="T200" i="4" l="1"/>
  <c r="Z64" i="4"/>
  <c r="Z63" i="4"/>
  <c r="Z62" i="4"/>
  <c r="Z61" i="4"/>
  <c r="Z60" i="4"/>
  <c r="Z59" i="4"/>
  <c r="T55" i="4"/>
  <c r="T54" i="4"/>
  <c r="T53" i="4" l="1"/>
  <c r="W66" i="4" l="1"/>
  <c r="W67" i="4"/>
  <c r="T67" i="4" l="1"/>
  <c r="W189" i="4" l="1"/>
  <c r="Z117" i="4" l="1"/>
  <c r="Z145" i="4" l="1"/>
  <c r="Z144" i="4"/>
  <c r="Z139" i="4"/>
  <c r="Z140" i="4"/>
  <c r="Z127" i="4"/>
  <c r="T112" i="4" l="1"/>
  <c r="T111" i="4"/>
  <c r="T108" i="4"/>
  <c r="T107" i="4"/>
  <c r="T104" i="4"/>
  <c r="T103" i="4"/>
  <c r="T96" i="4"/>
  <c r="T92" i="4"/>
  <c r="T91" i="4"/>
  <c r="T88" i="4"/>
  <c r="T87" i="4"/>
  <c r="X65" i="4"/>
  <c r="Y65" i="4"/>
  <c r="Z126" i="4" l="1"/>
  <c r="Z125" i="4"/>
  <c r="Z124" i="4"/>
  <c r="T123" i="4"/>
  <c r="Z123" i="4" s="1"/>
  <c r="Z122" i="4"/>
  <c r="Z121" i="4"/>
  <c r="Z120" i="4"/>
  <c r="T119" i="4"/>
  <c r="Z119" i="4" s="1"/>
  <c r="Z118" i="4"/>
  <c r="Z116" i="4"/>
  <c r="Z115" i="4"/>
  <c r="T114" i="4"/>
  <c r="Z114" i="4" s="1"/>
  <c r="Z135" i="4"/>
  <c r="Z134" i="4"/>
  <c r="Z133" i="4"/>
  <c r="T132" i="4"/>
  <c r="Z132" i="4" s="1"/>
  <c r="Z131" i="4"/>
  <c r="Z130" i="4"/>
  <c r="Z129" i="4"/>
  <c r="T128" i="4"/>
  <c r="Z128" i="4" s="1"/>
  <c r="Z138" i="4"/>
  <c r="Z137" i="4"/>
  <c r="T136" i="4"/>
  <c r="Z136" i="4" s="1"/>
  <c r="T141" i="4"/>
  <c r="Z141" i="4" s="1"/>
  <c r="Z142" i="4"/>
  <c r="Z143" i="4"/>
  <c r="Z221" i="4" l="1"/>
  <c r="Z222" i="4"/>
  <c r="T220" i="4"/>
  <c r="Z220" i="4" s="1"/>
  <c r="T25" i="4" l="1"/>
  <c r="T51" i="4"/>
  <c r="T50" i="4"/>
  <c r="V229" i="4" l="1"/>
  <c r="W65" i="4"/>
  <c r="Z224" i="4"/>
  <c r="Z55" i="4" l="1"/>
  <c r="Z78" i="4"/>
  <c r="Z53" i="4" l="1"/>
  <c r="Z58" i="4"/>
  <c r="Z57" i="4"/>
  <c r="Z148" i="4" l="1"/>
  <c r="Z147" i="4"/>
  <c r="Z146" i="4" l="1"/>
  <c r="Z56" i="4" l="1"/>
  <c r="Z54" i="4"/>
  <c r="T29" i="4" l="1"/>
  <c r="Z113" i="4" l="1"/>
  <c r="Z112" i="4"/>
  <c r="Z111" i="4"/>
  <c r="T110" i="4"/>
  <c r="Z110" i="4" s="1"/>
  <c r="Z97" i="4"/>
  <c r="Z96" i="4"/>
  <c r="Z95" i="4"/>
  <c r="T94" i="4"/>
  <c r="Z94" i="4" s="1"/>
  <c r="Z109" i="4"/>
  <c r="Z108" i="4"/>
  <c r="Z107" i="4"/>
  <c r="T106" i="4"/>
  <c r="Z106" i="4" s="1"/>
  <c r="Z105" i="4"/>
  <c r="Z104" i="4"/>
  <c r="Z103" i="4"/>
  <c r="T102" i="4"/>
  <c r="Z102" i="4" s="1"/>
  <c r="Z101" i="4" l="1"/>
  <c r="Z100" i="4"/>
  <c r="Z99" i="4"/>
  <c r="T98" i="4"/>
  <c r="Z98" i="4" s="1"/>
  <c r="Z51" i="4"/>
  <c r="Z50" i="4"/>
  <c r="Z49" i="4"/>
  <c r="T48" i="4"/>
  <c r="Z48" i="4" l="1"/>
  <c r="Z93" i="4" l="1"/>
  <c r="Z92" i="4"/>
  <c r="Z91" i="4"/>
  <c r="T90" i="4"/>
  <c r="Z90" i="4" s="1"/>
  <c r="Z52" i="4" l="1"/>
  <c r="T34" i="4" l="1"/>
  <c r="T33" i="4"/>
  <c r="Z32" i="4" l="1"/>
  <c r="V19" i="4" l="1"/>
  <c r="X67" i="4"/>
  <c r="X19" i="4" s="1"/>
  <c r="T86" i="4" l="1"/>
  <c r="Z85" i="4"/>
  <c r="Z84" i="4" l="1"/>
  <c r="Z89" i="4" l="1"/>
  <c r="Z88" i="4"/>
  <c r="Z87" i="4"/>
  <c r="Z86" i="4" l="1"/>
  <c r="Z75" i="4" l="1"/>
  <c r="Z77" i="4" l="1"/>
  <c r="T31" i="4" l="1"/>
  <c r="V80" i="4" l="1"/>
  <c r="V65" i="4" s="1"/>
  <c r="Z28" i="4" l="1"/>
  <c r="Y25" i="4"/>
  <c r="Z25" i="4" s="1"/>
  <c r="Z38" i="4"/>
  <c r="T26" i="4" l="1"/>
  <c r="T18" i="4" s="1"/>
  <c r="U80" i="4" l="1"/>
  <c r="U65" i="4" s="1"/>
  <c r="Z33" i="4" l="1"/>
  <c r="Z34" i="4"/>
  <c r="Z31" i="4" l="1"/>
  <c r="Z219" i="4" l="1"/>
  <c r="Z218" i="4"/>
  <c r="Z231" i="4" l="1"/>
  <c r="W68" i="4" l="1"/>
  <c r="X68" i="4"/>
  <c r="Y68" i="4"/>
  <c r="Y194" i="4" l="1"/>
  <c r="U238" i="4" l="1"/>
  <c r="V238" i="4"/>
  <c r="W238" i="4"/>
  <c r="X238" i="4"/>
  <c r="Y238" i="4"/>
  <c r="T238" i="4"/>
  <c r="Z238" i="4" l="1"/>
  <c r="Z233" i="4"/>
  <c r="Z76" i="4" l="1"/>
  <c r="T27" i="4" l="1"/>
  <c r="Z81" i="4"/>
  <c r="Z82" i="4"/>
  <c r="T80" i="4"/>
  <c r="T65" i="4" s="1"/>
  <c r="Z26" i="4"/>
  <c r="Z80" i="4" l="1"/>
  <c r="Z27" i="4"/>
  <c r="Z29" i="4"/>
  <c r="Z17" i="4" l="1"/>
  <c r="Z72" i="4" l="1"/>
  <c r="Y188" i="4"/>
  <c r="X188" i="4"/>
  <c r="W188" i="4"/>
  <c r="V188" i="4"/>
  <c r="U188" i="4"/>
  <c r="T188" i="4"/>
  <c r="Z83" i="4" l="1"/>
  <c r="Z30" i="4" l="1"/>
  <c r="Z211" i="4"/>
  <c r="Z207" i="4"/>
  <c r="Z194" i="4"/>
  <c r="X237" i="4" l="1"/>
  <c r="T237" i="4"/>
  <c r="U237" i="4"/>
  <c r="V237" i="4"/>
  <c r="W237" i="4"/>
  <c r="T199" i="4"/>
  <c r="U199" i="4"/>
  <c r="V199" i="4"/>
  <c r="W199" i="4"/>
  <c r="X199" i="4"/>
  <c r="Z69" i="4" l="1"/>
  <c r="W19" i="4"/>
  <c r="Z67" i="4" l="1"/>
  <c r="Z189" i="4" l="1"/>
  <c r="Y237" i="4" l="1"/>
  <c r="W229" i="4" l="1"/>
  <c r="X229" i="4"/>
  <c r="Y229" i="4"/>
  <c r="T187" i="4" l="1"/>
  <c r="T20" i="4" s="1"/>
  <c r="V187" i="4"/>
  <c r="W187" i="4"/>
  <c r="X187" i="4"/>
  <c r="Y187" i="4"/>
  <c r="Y199" i="4" l="1"/>
  <c r="T229" i="4" l="1"/>
  <c r="U229" i="4" l="1"/>
  <c r="Z70" i="4" l="1"/>
  <c r="Z201" i="4" l="1"/>
  <c r="Y22" i="4" l="1"/>
  <c r="Y19" i="4"/>
  <c r="U198" i="4" l="1"/>
  <c r="U186" i="4" s="1"/>
  <c r="V198" i="4"/>
  <c r="V186" i="4" s="1"/>
  <c r="W198" i="4"/>
  <c r="W186" i="4" s="1"/>
  <c r="X198" i="4"/>
  <c r="X186" i="4" s="1"/>
  <c r="Y198" i="4"/>
  <c r="Y186" i="4" s="1"/>
  <c r="T198" i="4"/>
  <c r="T186" i="4" l="1"/>
  <c r="W23" i="4"/>
  <c r="W15" i="4" s="1"/>
  <c r="V23" i="4"/>
  <c r="V15" i="4" s="1"/>
  <c r="X23" i="4"/>
  <c r="X15" i="4" s="1"/>
  <c r="Y23" i="4"/>
  <c r="Y15" i="4" s="1"/>
  <c r="U187" i="4"/>
  <c r="U20" i="4" s="1"/>
  <c r="V20" i="4"/>
  <c r="W20" i="4"/>
  <c r="X20" i="4"/>
  <c r="Y20" i="4"/>
  <c r="Z20" i="4" s="1"/>
  <c r="Z187" i="4"/>
  <c r="Z240" i="4"/>
  <c r="Z191" i="4"/>
  <c r="Z192" i="4"/>
  <c r="Z188" i="4" s="1"/>
  <c r="Z193" i="4"/>
  <c r="Z196" i="4"/>
  <c r="Z197" i="4"/>
  <c r="Z203" i="4"/>
  <c r="Z205" i="4"/>
  <c r="Z206" i="4"/>
  <c r="Z209" i="4"/>
  <c r="Z210" i="4"/>
  <c r="Z215" i="4"/>
  <c r="Z235" i="4"/>
  <c r="Z237" i="4"/>
  <c r="Z242" i="4"/>
  <c r="Z244" i="4"/>
  <c r="Z229" i="4" l="1"/>
  <c r="Z199" i="4"/>
  <c r="Z71" i="4" l="1"/>
  <c r="T23" i="4" l="1"/>
  <c r="Z214" i="4" l="1"/>
  <c r="U23" i="4" l="1"/>
  <c r="Z23" i="4" s="1"/>
  <c r="Z212" i="4"/>
  <c r="Z204" i="4"/>
  <c r="Z208" i="4"/>
  <c r="Z200" i="4"/>
  <c r="T22" i="4"/>
  <c r="U22" i="4"/>
  <c r="V22" i="4"/>
  <c r="W22" i="4"/>
  <c r="X22" i="4"/>
  <c r="U15" i="4" l="1"/>
  <c r="Z198" i="4"/>
  <c r="Z186" i="4" s="1"/>
  <c r="Z22" i="4"/>
  <c r="T21" i="4" l="1"/>
  <c r="U21" i="4"/>
  <c r="V21" i="4"/>
  <c r="Z21" i="4" l="1"/>
  <c r="Z19" i="4"/>
  <c r="Z66" i="4"/>
  <c r="T15" i="4" l="1"/>
  <c r="Z15" i="4" s="1"/>
</calcChain>
</file>

<file path=xl/sharedStrings.xml><?xml version="1.0" encoding="utf-8"?>
<sst xmlns="http://schemas.openxmlformats.org/spreadsheetml/2006/main" count="2317" uniqueCount="190">
  <si>
    <t>раздел</t>
  </si>
  <si>
    <t>%</t>
  </si>
  <si>
    <t>км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</si>
  <si>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</si>
  <si>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</si>
  <si>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</si>
  <si>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</si>
  <si>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</si>
  <si>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</si>
  <si>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</si>
  <si>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</si>
  <si>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</si>
  <si>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</si>
  <si>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</si>
  <si>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</si>
  <si>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</si>
  <si>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</si>
  <si>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</si>
  <si>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</si>
  <si>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</si>
  <si>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</si>
  <si>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</si>
  <si>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</si>
  <si>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</si>
  <si>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</si>
  <si>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</si>
  <si>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</si>
  <si>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</si>
  <si>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</si>
  <si>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</si>
  <si>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</si>
  <si>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</si>
  <si>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</si>
  <si>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</si>
  <si>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</si>
  <si>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</si>
  <si>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</si>
  <si>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</si>
  <si>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</si>
  <si>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</si>
  <si>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</si>
  <si>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</si>
  <si>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</si>
  <si>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</si>
  <si>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</si>
  <si>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</si>
  <si>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</si>
  <si>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</si>
  <si>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</si>
  <si>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</si>
  <si>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</si>
  <si>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</si>
  <si>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</si>
  <si>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</si>
  <si>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</si>
  <si>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</si>
  <si>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</si>
  <si>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</si>
  <si>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</si>
  <si>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</si>
  <si>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</si>
  <si>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</si>
  <si>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</si>
  <si>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</si>
  <si>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</si>
  <si>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</si>
  <si>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</si>
  <si>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</si>
  <si>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</si>
  <si>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</si>
  <si>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</si>
  <si>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</si>
  <si>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</si>
  <si>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</si>
  <si>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</si>
  <si>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</si>
  <si>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</si>
  <si>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</si>
  <si>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</si>
  <si>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</si>
  <si>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</si>
  <si>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</si>
  <si>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</si>
  <si>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</si>
  <si>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</si>
  <si>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</si>
  <si>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</si>
  <si>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</si>
  <si>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</si>
  <si>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</si>
  <si>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</si>
  <si>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</si>
  <si>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</si>
  <si>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</si>
  <si>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</si>
  <si>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</si>
  <si>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</si>
  <si>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</si>
  <si>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</si>
  <si>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</si>
  <si>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</si>
  <si>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</si>
  <si>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</si>
  <si>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</si>
  <si>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t xml:space="preserve"> Показатель 1 
</t>
    </r>
    <r>
      <rPr>
        <sz val="11"/>
        <rFont val="Times New Roman"/>
        <family val="1"/>
        <charset val="204"/>
      </rPr>
      <t>«Количество выданных согласований на перевозку тяжеловесных и (или) крупногабаритных грузов»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</si>
  <si>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</si>
  <si>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>Мероприятие 2.05</t>
    </r>
    <r>
      <rPr>
        <sz val="11"/>
        <rFont val="Times New Roman"/>
        <family val="1"/>
        <charset val="204"/>
      </rPr>
      <t xml:space="preserve"> 
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</si>
  <si>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</si>
  <si>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</si>
  <si>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</si>
  <si>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2.04 </t>
    </r>
    <r>
      <rPr>
        <sz val="11"/>
        <rFont val="Times New Roman"/>
        <family val="1"/>
        <charset val="204"/>
      </rPr>
      <t xml:space="preserve">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</si>
  <si>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</si>
  <si>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</si>
  <si>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t>Q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</si>
  <si>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</si>
  <si>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</si>
  <si>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Т</t>
  </si>
  <si>
    <t>J</t>
  </si>
  <si>
    <r>
      <rPr>
        <b/>
        <sz val="11"/>
        <rFont val="Times New Roman"/>
        <family val="1"/>
        <charset val="204"/>
      </rPr>
      <t>Мероприятие 2.09</t>
    </r>
    <r>
      <rPr>
        <sz val="11"/>
        <rFont val="Times New Roman"/>
        <family val="1"/>
        <charset val="204"/>
      </rPr>
      <t xml:space="preserve"> 
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</si>
  <si>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>Мероприятие 2.06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</si>
  <si>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>Мероприятие 2.08</t>
    </r>
    <r>
      <rPr>
        <sz val="11"/>
        <rFont val="Times New Roman"/>
        <family val="1"/>
        <charset val="204"/>
      </rPr>
      <t xml:space="preserve"> 
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</si>
  <si>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>Мероприятие 2.10</t>
    </r>
    <r>
      <rPr>
        <sz val="11"/>
        <rFont val="Times New Roman"/>
        <family val="1"/>
        <charset val="204"/>
      </rPr>
      <t xml:space="preserve"> 
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</si>
  <si>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>Мероприятие 2.11</t>
    </r>
    <r>
      <rPr>
        <sz val="11"/>
        <rFont val="Times New Roman"/>
        <family val="1"/>
        <charset val="204"/>
      </rPr>
      <t xml:space="preserve">
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</si>
  <si>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</si>
  <si>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2.07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</si>
  <si>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модернизированной линии»</t>
    </r>
  </si>
  <si>
    <r>
      <rPr>
        <b/>
        <sz val="11"/>
        <rFont val="Times New Roman"/>
        <family val="1"/>
        <charset val="204"/>
      </rPr>
      <t>Мероприятие 2.12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</si>
  <si>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>Мероприятие 2.14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</si>
  <si>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>Мероприятие 2.15</t>
    </r>
    <r>
      <rPr>
        <sz val="11"/>
        <rFont val="Times New Roman"/>
        <family val="1"/>
        <charset val="204"/>
      </rPr>
      <t xml:space="preserve"> 
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</si>
  <si>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>Мероприятие 2.16</t>
    </r>
    <r>
      <rPr>
        <sz val="11"/>
        <rFont val="Times New Roman"/>
        <family val="1"/>
        <charset val="204"/>
      </rPr>
      <t xml:space="preserve"> 
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</si>
  <si>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</si>
  <si>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</si>
  <si>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</si>
  <si>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</si>
  <si>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</si>
  <si>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</si>
  <si>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</si>
  <si>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2.17</t>
    </r>
    <r>
      <rPr>
        <sz val="11"/>
        <rFont val="Times New Roman"/>
        <family val="1"/>
        <charset val="204"/>
      </rPr>
      <t xml:space="preserve"> 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</si>
  <si>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</si>
  <si>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rPr>
        <b/>
        <sz val="11"/>
        <rFont val="Times New Roman"/>
        <family val="1"/>
        <charset val="204"/>
      </rPr>
      <t>Мероприятие 2.13</t>
    </r>
    <r>
      <rPr>
        <sz val="11"/>
        <rFont val="Times New Roman"/>
        <family val="1"/>
        <charset val="204"/>
      </rPr>
      <t xml:space="preserve"> 
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</si>
  <si>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>Мероприятие 2.18</t>
    </r>
    <r>
      <rPr>
        <sz val="11"/>
        <rFont val="Times New Roman"/>
        <family val="1"/>
        <charset val="204"/>
      </rPr>
      <t xml:space="preserve"> 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</si>
  <si>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</si>
  <si>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</si>
  <si>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работ»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</si>
  <si>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</si>
  <si>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</si>
  <si>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t>F</t>
  </si>
  <si>
    <r>
      <rPr>
        <b/>
        <sz val="11"/>
        <rFont val="Times New Roman"/>
        <family val="1"/>
        <charset val="204"/>
      </rPr>
      <t>Мероприятие 3.09</t>
    </r>
    <r>
      <rPr>
        <sz val="11"/>
        <rFont val="Times New Roman"/>
        <family val="1"/>
        <charset val="204"/>
      </rPr>
      <t xml:space="preserve">
«Создание муниципальной геоинформационной системы ливневого водоотведения города Твери»</t>
    </r>
  </si>
  <si>
    <r>
      <t xml:space="preserve">Мероприятие 2.19
</t>
    </r>
    <r>
      <rPr>
        <sz val="11"/>
        <rFont val="Times New Roman"/>
        <family val="1"/>
        <charset val="204"/>
      </rPr>
      <t>«Ремонт тротуаров по ул. Советская от Волжского пр-да (четная сторона) и от Свободного пер. (нечетная сторона) до Тверского проспекта»</t>
    </r>
  </si>
  <si>
    <r>
      <t xml:space="preserve">Мероприятие 2.20
</t>
    </r>
    <r>
      <rPr>
        <sz val="11"/>
        <rFont val="Times New Roman"/>
        <family val="1"/>
        <charset val="204"/>
      </rPr>
      <t>«Ремонт тротуаров на Театральной площади (ул. Советская – ул. Новоторжская)»</t>
    </r>
  </si>
  <si>
    <r>
      <t xml:space="preserve">Мероприятие 2.21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 – Артиллерийский пер., четная сторона) 1, 2, 3 этапы»</t>
    </r>
  </si>
  <si>
    <r>
      <t xml:space="preserve">Мероприятие 2.22
</t>
    </r>
    <r>
      <rPr>
        <sz val="11"/>
        <rFont val="Times New Roman"/>
        <family val="1"/>
        <charset val="204"/>
      </rPr>
      <t>«Ремонт тротуаров на ул. Скворцова-Степанова – ул. Малая Тверская (ул. А. Никитина – ул. Кольцевая)»</t>
    </r>
  </si>
  <si>
    <r>
      <t xml:space="preserve">Мероприятие 2.23
</t>
    </r>
    <r>
      <rPr>
        <sz val="11"/>
        <rFont val="Times New Roman"/>
        <family val="1"/>
        <charset val="204"/>
      </rPr>
      <t>«Ремонт тротуаров на ул. Серебряная (ул. Салтыкова-Щедрина – пер. Смоленский)»</t>
    </r>
  </si>
  <si>
    <r>
      <t xml:space="preserve">Мероприятие 2.24
</t>
    </r>
    <r>
      <rPr>
        <sz val="11"/>
        <rFont val="Times New Roman"/>
        <family val="1"/>
        <charset val="204"/>
      </rPr>
      <t>«Ремонт тротуаров на наб. Степана Разина (пер. Свободный –пер. Студенческий)»</t>
    </r>
  </si>
  <si>
    <r>
      <rPr>
        <b/>
        <sz val="11"/>
        <rFont val="Times New Roman"/>
        <family val="1"/>
        <charset val="204"/>
      </rPr>
      <t>Мероприятие 2.25</t>
    </r>
    <r>
      <rPr>
        <sz val="11"/>
        <rFont val="Times New Roman"/>
        <family val="1"/>
        <charset val="204"/>
      </rPr>
      <t xml:space="preserve"> 
«Капитальный ремонт автомобильной дороги по адресу: проезд от Краснофлотской набережной к гребной базе ГБУ ДО «СДЮСШОР» по видам гребли имени олимпийской чемпионки Антонины Серединой»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</si>
  <si>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</si>
  <si>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разработанных геоинформационных систем»</t>
    </r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</si>
  <si>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              П.Н. Кондратьев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</si>
  <si>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парковки»</t>
    </r>
  </si>
  <si>
    <t>м3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</si>
  <si>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«Промывка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</si>
  <si>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</si>
  <si>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</si>
  <si>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</si>
  <si>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</si>
  <si>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</si>
  <si>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9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</si>
  <si>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11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</si>
  <si>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10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</si>
  <si>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2.26</t>
    </r>
    <r>
      <rPr>
        <sz val="11"/>
        <rFont val="Times New Roman"/>
        <family val="1"/>
        <charset val="204"/>
      </rPr>
      <t xml:space="preserve"> 
«Ремонт тротуаров на наб. А. Никитина (памятник А. Никитину-Артиллерийский пер., четная сторона), 4, 5 этапы»</t>
    </r>
  </si>
  <si>
    <r>
      <rPr>
        <b/>
        <sz val="11"/>
        <rFont val="Times New Roman"/>
        <family val="1"/>
        <charset val="204"/>
      </rPr>
      <t>Мероприятие 2.27</t>
    </r>
    <r>
      <rPr>
        <sz val="11"/>
        <rFont val="Times New Roman"/>
        <family val="1"/>
        <charset val="204"/>
      </rPr>
      <t xml:space="preserve"> 
«Ремонт тротуаров на пр-те Победы (Волоколамский пр-т - ул. Лукина, четная сторона)»</t>
    </r>
  </si>
  <si>
    <r>
      <rPr>
        <b/>
        <sz val="11"/>
        <rFont val="Times New Roman"/>
        <family val="1"/>
        <charset val="204"/>
      </rPr>
      <t>Мероприятие 2.28</t>
    </r>
    <r>
      <rPr>
        <sz val="11"/>
        <rFont val="Times New Roman"/>
        <family val="1"/>
        <charset val="204"/>
      </rPr>
      <t xml:space="preserve"> 
«Ремонт тротуаров на пр-те Чайковского (ул. Коробкова - пл. Капошвара, нечетная сторона»</t>
    </r>
  </si>
  <si>
    <r>
      <rPr>
        <b/>
        <sz val="11"/>
        <rFont val="Times New Roman"/>
        <family val="1"/>
        <charset val="204"/>
      </rPr>
      <t>Мероприятие 2.29</t>
    </r>
    <r>
      <rPr>
        <sz val="11"/>
        <rFont val="Times New Roman"/>
        <family val="1"/>
        <charset val="204"/>
      </rPr>
      <t xml:space="preserve"> 
«Ремонт тротуаров на Тверском проспекте (Новый Волжский мост - ул. Желябова)»</t>
    </r>
  </si>
  <si>
    <r>
      <rPr>
        <b/>
        <sz val="11"/>
        <rFont val="Times New Roman"/>
        <family val="1"/>
        <charset val="204"/>
      </rPr>
      <t>Мероприятие 2.30</t>
    </r>
    <r>
      <rPr>
        <sz val="11"/>
        <rFont val="Times New Roman"/>
        <family val="1"/>
        <charset val="204"/>
      </rPr>
      <t xml:space="preserve"> 
«Ремонт тротуаров на пер. Свободном (ул. Советская - до ул. наб. С. Разина)»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</si>
  <si>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модернизированной линии»</t>
    </r>
  </si>
  <si>
    <r>
      <rPr>
        <b/>
        <sz val="11"/>
        <rFont val="Times New Roman"/>
        <family val="1"/>
        <charset val="204"/>
      </rPr>
      <t xml:space="preserve">Мероприятие 2.31
</t>
    </r>
    <r>
      <rPr>
        <sz val="11"/>
        <rFont val="Times New Roman"/>
        <family val="1"/>
        <charset val="204"/>
      </rPr>
      <t>«Модернизация линии наружного освещения на Тверском проспекте (от ул. Желябова до ул. Вольного Новгорода)»</t>
    </r>
  </si>
  <si>
    <r>
      <t xml:space="preserve">Показатель 4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</si>
  <si>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</si>
  <si>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</si>
  <si>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1.06
</t>
    </r>
    <r>
      <rPr>
        <sz val="11"/>
        <rFont val="Times New Roman"/>
        <family val="1"/>
        <charset val="204"/>
      </rPr>
      <t xml:space="preserve">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</si>
  <si>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</si>
  <si>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</si>
  <si>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</si>
  <si>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</si>
  <si>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</si>
  <si>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</si>
  <si>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t xml:space="preserve">Мероприятие 1.04
</t>
    </r>
    <r>
      <rPr>
        <sz val="11"/>
        <rFont val="Times New Roman"/>
        <family val="1"/>
        <charset val="204"/>
      </rPr>
      <t>«Автодорога по ул.Левитана от д.52 до ул.Можайского»</t>
    </r>
  </si>
  <si>
    <r>
      <t xml:space="preserve">Мероприятие 1.05
</t>
    </r>
    <r>
      <rPr>
        <sz val="11"/>
        <rFont val="Times New Roman"/>
        <family val="1"/>
        <charset val="204"/>
      </rPr>
      <t>«Наружное освещение»</t>
    </r>
  </si>
  <si>
    <r>
      <t xml:space="preserve">Показатель 5 
</t>
    </r>
    <r>
      <rPr>
        <sz val="11"/>
        <rFont val="Times New Roman"/>
        <family val="1"/>
        <charset val="204"/>
      </rPr>
      <t>«Степень выполнения работ»</t>
    </r>
  </si>
  <si>
    <t>Приложение 2
к постановлению Администрации города Твери
от  « 29» декабря  2022 № 1276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</si>
</sst>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4" fillId="3" borderId="0" xfId="0" applyNumberFormat="1" applyFont="1" applyFill="1" applyAlignment="1">
      <alignment horizontal="left" vertical="center" wrapText="1"/>
    </xf>
    <xf numFmtId="49" fontId="15" fillId="3" borderId="0" xfId="0" applyNumberFormat="1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center" vertical="center" wrapText="1"/>
    </xf>
    <xf numFmtId="49" fontId="15" fillId="3" borderId="0" xfId="0" applyNumberFormat="1" applyFont="1" applyFill="1" applyAlignment="1">
      <alignment horizontal="left" vertical="center" wrapText="1"/>
    </xf>
    <xf numFmtId="49" fontId="16" fillId="3" borderId="0" xfId="0" applyNumberFormat="1" applyFont="1" applyFill="1" applyAlignment="1">
      <alignment vertical="center" wrapText="1"/>
    </xf>
    <xf numFmtId="49" fontId="17" fillId="3" borderId="0" xfId="0" applyNumberFormat="1" applyFont="1" applyFill="1" applyAlignment="1">
      <alignment horizontal="left" vertical="center" wrapText="1"/>
    </xf>
    <xf numFmtId="49" fontId="17" fillId="3" borderId="0" xfId="0" applyNumberFormat="1" applyFont="1" applyFill="1" applyAlignment="1">
      <alignment vertical="center" wrapText="1"/>
    </xf>
    <xf numFmtId="4" fontId="16" fillId="3" borderId="0" xfId="0" applyNumberFormat="1" applyFont="1" applyFill="1" applyAlignment="1">
      <alignment horizontal="left" vertical="center" wrapText="1"/>
    </xf>
    <xf numFmtId="49" fontId="16" fillId="3" borderId="0" xfId="0" applyNumberFormat="1" applyFont="1" applyFill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9" fontId="9" fillId="3" borderId="0" xfId="0" applyNumberFormat="1" applyFont="1" applyFill="1" applyAlignment="1">
      <alignment horizontal="left" vertical="center" wrapText="1"/>
    </xf>
    <xf numFmtId="49" fontId="15" fillId="7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15" fillId="3" borderId="0" xfId="0" applyNumberFormat="1" applyFont="1" applyFill="1" applyAlignment="1">
      <alignment horizontal="left" vertical="center" wrapText="1"/>
    </xf>
    <xf numFmtId="4" fontId="14" fillId="3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15" fillId="3" borderId="0" xfId="0" applyNumberFormat="1" applyFont="1" applyFill="1" applyAlignment="1">
      <alignment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49" fontId="16" fillId="3" borderId="0" xfId="0" applyNumberFormat="1" applyFont="1" applyFill="1" applyAlignment="1">
      <alignment horizontal="center" vertical="center" wrapText="1"/>
    </xf>
    <xf numFmtId="164" fontId="16" fillId="6" borderId="0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7" fillId="3" borderId="0" xfId="0" applyNumberFormat="1" applyFont="1" applyFill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7"/>
  <sheetViews>
    <sheetView tabSelected="1" view="pageBreakPreview" topLeftCell="N2" zoomScale="60" zoomScaleNormal="70" zoomScalePageLayoutView="80" workbookViewId="0">
      <selection activeCell="V2" sqref="V2:AA2"/>
    </sheetView>
  </sheetViews>
  <sheetFormatPr defaultColWidth="8.7109375" defaultRowHeight="20.25" outlineLevelCol="1" x14ac:dyDescent="0.25"/>
  <cols>
    <col min="1" max="9" width="2.28515625" style="31" customWidth="1"/>
    <col min="10" max="16" width="2.7109375" style="31" customWidth="1"/>
    <col min="17" max="17" width="3.28515625" style="31" customWidth="1"/>
    <col min="18" max="18" width="72.140625" style="32" customWidth="1"/>
    <col min="19" max="19" width="7.28515625" style="32" customWidth="1"/>
    <col min="20" max="20" width="12" style="107" customWidth="1"/>
    <col min="21" max="21" width="12.7109375" style="31" customWidth="1"/>
    <col min="22" max="22" width="11.7109375" style="31" customWidth="1"/>
    <col min="23" max="24" width="12.28515625" style="118" customWidth="1"/>
    <col min="25" max="25" width="12.140625" style="107" customWidth="1"/>
    <col min="26" max="26" width="13.42578125" style="33" customWidth="1"/>
    <col min="27" max="27" width="11.28515625" style="31" customWidth="1"/>
    <col min="28" max="28" width="36.28515625" style="73" customWidth="1" outlineLevel="1"/>
    <col min="29" max="29" width="25" style="17" customWidth="1" outlineLevel="1"/>
    <col min="30" max="30" width="26.140625" style="17" customWidth="1"/>
    <col min="31" max="32" width="8.7109375" style="1"/>
    <col min="33" max="16384" width="8.7109375" style="18"/>
  </cols>
  <sheetData>
    <row r="1" spans="1:32" ht="45" hidden="1" customHeight="1" x14ac:dyDescent="0.25">
      <c r="V1" s="130" t="s">
        <v>43</v>
      </c>
      <c r="W1" s="130"/>
      <c r="X1" s="130"/>
      <c r="Y1" s="130"/>
      <c r="Z1" s="130"/>
      <c r="AA1" s="130"/>
    </row>
    <row r="2" spans="1:32" ht="41.4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1"/>
      <c r="S2" s="11"/>
      <c r="V2" s="137" t="s">
        <v>189</v>
      </c>
      <c r="W2" s="137"/>
      <c r="X2" s="137"/>
      <c r="Y2" s="137"/>
      <c r="Z2" s="137"/>
      <c r="AA2" s="137"/>
    </row>
    <row r="3" spans="1:32" ht="13.15" customHeight="1" x14ac:dyDescent="0.25">
      <c r="A3" s="136" t="s">
        <v>46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</row>
    <row r="4" spans="1:32" x14ac:dyDescent="0.25">
      <c r="A4" s="136" t="s">
        <v>42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</row>
    <row r="5" spans="1:32" ht="13.15" customHeight="1" x14ac:dyDescent="0.25">
      <c r="A5" s="136" t="s">
        <v>44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</row>
    <row r="6" spans="1:32" ht="13.15" customHeight="1" x14ac:dyDescent="0.25">
      <c r="A6" s="136" t="s">
        <v>41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</row>
    <row r="7" spans="1:3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53"/>
      <c r="S7" s="53"/>
      <c r="T7" s="108"/>
      <c r="U7" s="105"/>
      <c r="V7" s="105"/>
      <c r="W7" s="119"/>
      <c r="X7" s="119"/>
      <c r="Y7" s="108"/>
      <c r="Z7" s="53"/>
      <c r="AA7" s="53"/>
    </row>
    <row r="8" spans="1:32" x14ac:dyDescent="0.25">
      <c r="A8" s="135" t="s">
        <v>5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</row>
    <row r="9" spans="1:32" ht="16.149999999999999" customHeight="1" x14ac:dyDescent="0.25">
      <c r="A9" s="135" t="s">
        <v>44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</row>
    <row r="10" spans="1:32" ht="24" customHeight="1" x14ac:dyDescent="0.25">
      <c r="A10" s="134" t="s">
        <v>93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</row>
    <row r="11" spans="1:32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11"/>
      <c r="S11" s="11"/>
      <c r="T11" s="83"/>
      <c r="U11" s="109"/>
      <c r="Z11" s="26"/>
      <c r="AA11" s="27"/>
    </row>
    <row r="12" spans="1:32" s="19" customFormat="1" ht="33.6" customHeight="1" x14ac:dyDescent="0.25">
      <c r="A12" s="132" t="s">
        <v>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 t="s">
        <v>6</v>
      </c>
      <c r="S12" s="132" t="s">
        <v>7</v>
      </c>
      <c r="T12" s="132" t="s">
        <v>36</v>
      </c>
      <c r="U12" s="132"/>
      <c r="V12" s="132"/>
      <c r="W12" s="132"/>
      <c r="X12" s="132"/>
      <c r="Y12" s="132"/>
      <c r="Z12" s="132" t="s">
        <v>3</v>
      </c>
      <c r="AA12" s="133"/>
      <c r="AB12" s="73"/>
      <c r="AC12" s="29"/>
      <c r="AD12" s="29"/>
      <c r="AE12" s="28"/>
      <c r="AF12" s="28"/>
    </row>
    <row r="13" spans="1:32" s="19" customFormat="1" ht="65.45" customHeight="1" x14ac:dyDescent="0.25">
      <c r="A13" s="132" t="s">
        <v>38</v>
      </c>
      <c r="B13" s="132"/>
      <c r="C13" s="132"/>
      <c r="D13" s="132" t="s">
        <v>0</v>
      </c>
      <c r="E13" s="132"/>
      <c r="F13" s="132" t="s">
        <v>13</v>
      </c>
      <c r="G13" s="132"/>
      <c r="H13" s="132" t="s">
        <v>14</v>
      </c>
      <c r="I13" s="132"/>
      <c r="J13" s="132"/>
      <c r="K13" s="132"/>
      <c r="L13" s="132"/>
      <c r="M13" s="132"/>
      <c r="N13" s="132"/>
      <c r="O13" s="132"/>
      <c r="P13" s="132"/>
      <c r="Q13" s="132"/>
      <c r="R13" s="133"/>
      <c r="S13" s="133"/>
      <c r="T13" s="106">
        <v>2021</v>
      </c>
      <c r="U13" s="120">
        <v>2022</v>
      </c>
      <c r="V13" s="117">
        <v>2023</v>
      </c>
      <c r="W13" s="117">
        <v>2024</v>
      </c>
      <c r="X13" s="117">
        <v>2025</v>
      </c>
      <c r="Y13" s="106">
        <v>2026</v>
      </c>
      <c r="Z13" s="55" t="s">
        <v>4</v>
      </c>
      <c r="AA13" s="55" t="s">
        <v>32</v>
      </c>
      <c r="AB13" s="73"/>
      <c r="AC13" s="29"/>
      <c r="AD13" s="29"/>
      <c r="AE13" s="28"/>
      <c r="AF13" s="28"/>
    </row>
    <row r="14" spans="1:32" s="72" customFormat="1" x14ac:dyDescent="0.25">
      <c r="A14" s="69">
        <v>1</v>
      </c>
      <c r="B14" s="69">
        <v>2</v>
      </c>
      <c r="C14" s="69">
        <v>3</v>
      </c>
      <c r="D14" s="69">
        <v>4</v>
      </c>
      <c r="E14" s="69">
        <v>5</v>
      </c>
      <c r="F14" s="69">
        <v>6</v>
      </c>
      <c r="G14" s="69">
        <v>7</v>
      </c>
      <c r="H14" s="69">
        <v>8</v>
      </c>
      <c r="I14" s="69">
        <v>9</v>
      </c>
      <c r="J14" s="69">
        <v>10</v>
      </c>
      <c r="K14" s="69">
        <v>11</v>
      </c>
      <c r="L14" s="69">
        <v>12</v>
      </c>
      <c r="M14" s="69">
        <v>13</v>
      </c>
      <c r="N14" s="69">
        <v>14</v>
      </c>
      <c r="O14" s="69">
        <v>15</v>
      </c>
      <c r="P14" s="69">
        <v>16</v>
      </c>
      <c r="Q14" s="69">
        <v>17</v>
      </c>
      <c r="R14" s="69">
        <v>18</v>
      </c>
      <c r="S14" s="69">
        <v>19</v>
      </c>
      <c r="T14" s="69">
        <v>20</v>
      </c>
      <c r="U14" s="69">
        <v>21</v>
      </c>
      <c r="V14" s="69">
        <v>22</v>
      </c>
      <c r="W14" s="69">
        <v>23</v>
      </c>
      <c r="X14" s="69">
        <v>24</v>
      </c>
      <c r="Y14" s="69">
        <v>25</v>
      </c>
      <c r="Z14" s="69">
        <v>26</v>
      </c>
      <c r="AA14" s="69">
        <v>27</v>
      </c>
      <c r="AB14" s="73"/>
      <c r="AC14" s="70"/>
      <c r="AD14" s="70"/>
      <c r="AE14" s="71"/>
      <c r="AF14" s="71"/>
    </row>
    <row r="15" spans="1:32" s="1" customFormat="1" ht="34.1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7" t="s">
        <v>26</v>
      </c>
      <c r="S15" s="48" t="s">
        <v>33</v>
      </c>
      <c r="T15" s="49">
        <f t="shared" ref="T15:Y15" si="0">T23+T229</f>
        <v>2416571.8999999994</v>
      </c>
      <c r="U15" s="49">
        <f t="shared" si="0"/>
        <v>2005674.5</v>
      </c>
      <c r="V15" s="49">
        <f t="shared" si="0"/>
        <v>1738555.5999999996</v>
      </c>
      <c r="W15" s="49">
        <f t="shared" si="0"/>
        <v>1674981.6</v>
      </c>
      <c r="X15" s="49">
        <f t="shared" si="0"/>
        <v>1678906.6</v>
      </c>
      <c r="Y15" s="49">
        <f t="shared" si="0"/>
        <v>569070.69999999995</v>
      </c>
      <c r="Z15" s="49">
        <f>T15+U15+V15+W15+X15+Y15</f>
        <v>10083760.899999999</v>
      </c>
      <c r="AA15" s="48">
        <v>2026</v>
      </c>
      <c r="AB15" s="73"/>
      <c r="AC15" s="17"/>
      <c r="AD15" s="17"/>
    </row>
    <row r="16" spans="1:32" s="10" customFormat="1" ht="42.6" customHeight="1" x14ac:dyDescent="0.25">
      <c r="A16" s="14"/>
      <c r="B16" s="14"/>
      <c r="C16" s="14"/>
      <c r="D16" s="14"/>
      <c r="E16" s="14"/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2" t="s">
        <v>74</v>
      </c>
      <c r="S16" s="6"/>
      <c r="T16" s="5"/>
      <c r="U16" s="110"/>
      <c r="V16" s="111"/>
      <c r="W16" s="3"/>
      <c r="X16" s="3"/>
      <c r="Y16" s="3"/>
      <c r="Z16" s="3"/>
      <c r="AA16" s="6"/>
      <c r="AB16" s="73"/>
      <c r="AC16" s="17"/>
      <c r="AD16" s="17"/>
      <c r="AE16" s="1"/>
      <c r="AF16" s="1"/>
    </row>
    <row r="17" spans="1:32" s="10" customFormat="1" ht="54" customHeight="1" x14ac:dyDescent="0.25">
      <c r="A17" s="14"/>
      <c r="B17" s="14"/>
      <c r="C17" s="14"/>
      <c r="D17" s="14"/>
      <c r="E17" s="14"/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7" t="s">
        <v>75</v>
      </c>
      <c r="S17" s="6" t="s">
        <v>1</v>
      </c>
      <c r="T17" s="5">
        <v>67.3</v>
      </c>
      <c r="U17" s="5">
        <v>79.599999999999994</v>
      </c>
      <c r="V17" s="5">
        <v>80.900000000000006</v>
      </c>
      <c r="W17" s="5">
        <v>85</v>
      </c>
      <c r="X17" s="5">
        <v>85</v>
      </c>
      <c r="Y17" s="5">
        <v>85</v>
      </c>
      <c r="Z17" s="3">
        <f>Y17</f>
        <v>85</v>
      </c>
      <c r="AA17" s="6">
        <v>2026</v>
      </c>
      <c r="AB17" s="73"/>
      <c r="AC17" s="17"/>
      <c r="AD17" s="17"/>
      <c r="AE17" s="1"/>
      <c r="AF17" s="1"/>
    </row>
    <row r="18" spans="1:32" s="10" customFormat="1" ht="45" x14ac:dyDescent="0.25">
      <c r="A18" s="14"/>
      <c r="B18" s="14"/>
      <c r="C18" s="14"/>
      <c r="D18" s="14"/>
      <c r="E18" s="14"/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7" t="s">
        <v>76</v>
      </c>
      <c r="S18" s="6" t="s">
        <v>34</v>
      </c>
      <c r="T18" s="5">
        <f>T26</f>
        <v>11.4</v>
      </c>
      <c r="U18" s="5">
        <f>U26</f>
        <v>11.4</v>
      </c>
      <c r="V18" s="110"/>
      <c r="W18" s="5"/>
      <c r="X18" s="5"/>
      <c r="Y18" s="5"/>
      <c r="Z18" s="3">
        <v>11.4</v>
      </c>
      <c r="AA18" s="6">
        <v>2022</v>
      </c>
      <c r="AB18" s="73"/>
      <c r="AC18" s="17"/>
      <c r="AD18" s="17"/>
      <c r="AE18" s="1"/>
      <c r="AF18" s="1"/>
    </row>
    <row r="19" spans="1:32" s="10" customFormat="1" ht="30" x14ac:dyDescent="0.25">
      <c r="A19" s="14"/>
      <c r="B19" s="14"/>
      <c r="C19" s="14"/>
      <c r="D19" s="14"/>
      <c r="E19" s="14"/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7" t="s">
        <v>77</v>
      </c>
      <c r="S19" s="6" t="s">
        <v>34</v>
      </c>
      <c r="T19" s="5">
        <v>13.4</v>
      </c>
      <c r="U19" s="5">
        <f>U66+U67</f>
        <v>15.555999999999999</v>
      </c>
      <c r="V19" s="5">
        <f t="shared" ref="V19:Y19" si="1">V66+V67</f>
        <v>18.693000000000001</v>
      </c>
      <c r="W19" s="5">
        <f t="shared" si="1"/>
        <v>2.7</v>
      </c>
      <c r="X19" s="5">
        <f t="shared" si="1"/>
        <v>10.3</v>
      </c>
      <c r="Y19" s="5">
        <f t="shared" si="1"/>
        <v>0.2</v>
      </c>
      <c r="Z19" s="3">
        <f>T19+U19+V19+W19+X19+Y19</f>
        <v>60.849000000000004</v>
      </c>
      <c r="AA19" s="6">
        <v>2026</v>
      </c>
      <c r="AB19" s="73"/>
      <c r="AC19" s="17"/>
      <c r="AD19" s="17"/>
      <c r="AE19" s="1"/>
      <c r="AF19" s="1"/>
    </row>
    <row r="20" spans="1:32" s="10" customFormat="1" ht="31.5" customHeight="1" x14ac:dyDescent="0.25">
      <c r="A20" s="14"/>
      <c r="B20" s="14"/>
      <c r="C20" s="14"/>
      <c r="D20" s="14"/>
      <c r="E20" s="14"/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7" t="s">
        <v>78</v>
      </c>
      <c r="S20" s="6" t="s">
        <v>34</v>
      </c>
      <c r="T20" s="5">
        <f>T187</f>
        <v>7130.4</v>
      </c>
      <c r="U20" s="5">
        <f t="shared" ref="U20:Y20" si="2">U187</f>
        <v>7130.4</v>
      </c>
      <c r="V20" s="5">
        <f t="shared" si="2"/>
        <v>7130.4</v>
      </c>
      <c r="W20" s="5">
        <f t="shared" si="2"/>
        <v>7130.4</v>
      </c>
      <c r="X20" s="5">
        <f t="shared" si="2"/>
        <v>7130.4</v>
      </c>
      <c r="Y20" s="5">
        <f t="shared" si="2"/>
        <v>7130.4</v>
      </c>
      <c r="Z20" s="3">
        <f>Y20</f>
        <v>7130.4</v>
      </c>
      <c r="AA20" s="6">
        <v>2026</v>
      </c>
      <c r="AB20" s="73"/>
      <c r="AC20" s="17"/>
      <c r="AD20" s="17"/>
      <c r="AE20" s="1"/>
      <c r="AF20" s="1"/>
    </row>
    <row r="21" spans="1:32" s="10" customFormat="1" ht="63" hidden="1" customHeight="1" x14ac:dyDescent="0.25">
      <c r="A21" s="14"/>
      <c r="B21" s="14"/>
      <c r="C21" s="14"/>
      <c r="D21" s="14"/>
      <c r="E21" s="14"/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7" t="s">
        <v>79</v>
      </c>
      <c r="S21" s="6" t="s">
        <v>34</v>
      </c>
      <c r="T21" s="5" t="e">
        <f>#REF!</f>
        <v>#REF!</v>
      </c>
      <c r="U21" s="110" t="e">
        <f>#REF!</f>
        <v>#REF!</v>
      </c>
      <c r="V21" s="110" t="e">
        <f>#REF!</f>
        <v>#REF!</v>
      </c>
      <c r="W21" s="5"/>
      <c r="X21" s="5"/>
      <c r="Y21" s="5"/>
      <c r="Z21" s="3" t="e">
        <f>T21+U21+V21+W21+X21+Y21</f>
        <v>#REF!</v>
      </c>
      <c r="AA21" s="6">
        <v>2026</v>
      </c>
      <c r="AB21" s="73"/>
      <c r="AC21" s="17"/>
      <c r="AD21" s="17"/>
      <c r="AE21" s="1"/>
      <c r="AF21" s="1"/>
    </row>
    <row r="22" spans="1:32" s="10" customFormat="1" ht="30" hidden="1" x14ac:dyDescent="0.25">
      <c r="A22" s="14"/>
      <c r="B22" s="14"/>
      <c r="C22" s="14"/>
      <c r="D22" s="14"/>
      <c r="E22" s="14"/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7" t="s">
        <v>80</v>
      </c>
      <c r="S22" s="6" t="s">
        <v>35</v>
      </c>
      <c r="T22" s="5">
        <f t="shared" ref="T22:Y22" si="3">T238</f>
        <v>848</v>
      </c>
      <c r="U22" s="110">
        <f t="shared" si="3"/>
        <v>864</v>
      </c>
      <c r="V22" s="110">
        <f t="shared" si="3"/>
        <v>800</v>
      </c>
      <c r="W22" s="5">
        <f t="shared" si="3"/>
        <v>800</v>
      </c>
      <c r="X22" s="5">
        <f t="shared" si="3"/>
        <v>800</v>
      </c>
      <c r="Y22" s="5">
        <f t="shared" si="3"/>
        <v>800</v>
      </c>
      <c r="Z22" s="3">
        <f>T22+U22+V22+W22+X22+Y22</f>
        <v>4912</v>
      </c>
      <c r="AA22" s="6">
        <v>2026</v>
      </c>
      <c r="AB22" s="73"/>
      <c r="AC22" s="17"/>
      <c r="AD22" s="17"/>
      <c r="AE22" s="1"/>
      <c r="AF22" s="1"/>
    </row>
    <row r="23" spans="1:32" ht="36.6" customHeight="1" x14ac:dyDescent="0.25">
      <c r="A23" s="34"/>
      <c r="B23" s="34"/>
      <c r="C23" s="34"/>
      <c r="D23" s="34" t="s">
        <v>10</v>
      </c>
      <c r="E23" s="34" t="s">
        <v>20</v>
      </c>
      <c r="F23" s="34" t="s">
        <v>10</v>
      </c>
      <c r="G23" s="34" t="s">
        <v>19</v>
      </c>
      <c r="H23" s="34" t="s">
        <v>10</v>
      </c>
      <c r="I23" s="34" t="s">
        <v>18</v>
      </c>
      <c r="J23" s="34" t="s">
        <v>11</v>
      </c>
      <c r="K23" s="34" t="s">
        <v>10</v>
      </c>
      <c r="L23" s="34" t="s">
        <v>10</v>
      </c>
      <c r="M23" s="34" t="s">
        <v>10</v>
      </c>
      <c r="N23" s="34" t="s">
        <v>10</v>
      </c>
      <c r="O23" s="34" t="s">
        <v>10</v>
      </c>
      <c r="P23" s="34" t="s">
        <v>10</v>
      </c>
      <c r="Q23" s="34" t="s">
        <v>10</v>
      </c>
      <c r="R23" s="35" t="s">
        <v>81</v>
      </c>
      <c r="S23" s="36" t="s">
        <v>33</v>
      </c>
      <c r="T23" s="37">
        <f t="shared" ref="T23:Y23" si="4">T24+T65+T186</f>
        <v>2416571.8999999994</v>
      </c>
      <c r="U23" s="37">
        <f t="shared" si="4"/>
        <v>2005674.5</v>
      </c>
      <c r="V23" s="37">
        <f t="shared" si="4"/>
        <v>1738555.5999999996</v>
      </c>
      <c r="W23" s="37">
        <f t="shared" si="4"/>
        <v>1674981.6</v>
      </c>
      <c r="X23" s="37">
        <f t="shared" si="4"/>
        <v>1678906.6</v>
      </c>
      <c r="Y23" s="37">
        <f t="shared" si="4"/>
        <v>569070.69999999995</v>
      </c>
      <c r="Z23" s="37">
        <f>T23+U23+V23+W23+X23+Y23</f>
        <v>10083760.899999999</v>
      </c>
      <c r="AA23" s="36">
        <v>2026</v>
      </c>
      <c r="AB23" s="74"/>
      <c r="AC23" s="29"/>
    </row>
    <row r="24" spans="1:32" s="20" customFormat="1" ht="49.9" customHeight="1" x14ac:dyDescent="0.25">
      <c r="A24" s="39"/>
      <c r="B24" s="39"/>
      <c r="C24" s="39"/>
      <c r="D24" s="39" t="s">
        <v>10</v>
      </c>
      <c r="E24" s="39" t="s">
        <v>20</v>
      </c>
      <c r="F24" s="39" t="s">
        <v>10</v>
      </c>
      <c r="G24" s="39" t="s">
        <v>19</v>
      </c>
      <c r="H24" s="39" t="s">
        <v>10</v>
      </c>
      <c r="I24" s="39" t="s">
        <v>18</v>
      </c>
      <c r="J24" s="39" t="s">
        <v>11</v>
      </c>
      <c r="K24" s="39" t="s">
        <v>10</v>
      </c>
      <c r="L24" s="39" t="s">
        <v>11</v>
      </c>
      <c r="M24" s="39" t="s">
        <v>10</v>
      </c>
      <c r="N24" s="39" t="s">
        <v>10</v>
      </c>
      <c r="O24" s="39" t="s">
        <v>10</v>
      </c>
      <c r="P24" s="39" t="s">
        <v>10</v>
      </c>
      <c r="Q24" s="39" t="s">
        <v>10</v>
      </c>
      <c r="R24" s="40" t="s">
        <v>25</v>
      </c>
      <c r="S24" s="41" t="s">
        <v>33</v>
      </c>
      <c r="T24" s="42">
        <f>T29+T31+T38+T41+T48+T53+T57+T59+T61+T63</f>
        <v>150316.1</v>
      </c>
      <c r="U24" s="42">
        <f>U29+U31+U38+U41+U45+U48+U53+U57+U59+U61+U63</f>
        <v>157246.9</v>
      </c>
      <c r="V24" s="42">
        <f t="shared" ref="V24:Y24" si="5">V29+V31+V38+V41+V45+V48+V53+V57+V59+V61+V63</f>
        <v>14024</v>
      </c>
      <c r="W24" s="42">
        <f t="shared" si="5"/>
        <v>2751.4</v>
      </c>
      <c r="X24" s="42">
        <f t="shared" si="5"/>
        <v>6676.4</v>
      </c>
      <c r="Y24" s="42">
        <f t="shared" si="5"/>
        <v>136230.79999999999</v>
      </c>
      <c r="Z24" s="42">
        <f>Z29+Z31+Z38+Z41+Z45+Z48+Z53+Z57+Z59+Z61+Z63</f>
        <v>467245.6</v>
      </c>
      <c r="AA24" s="41">
        <v>2026</v>
      </c>
      <c r="AB24" s="75"/>
      <c r="AC24" s="67"/>
      <c r="AD24" s="15"/>
      <c r="AE24" s="16"/>
      <c r="AF24" s="16"/>
    </row>
    <row r="25" spans="1:32" s="2" customFormat="1" ht="29.25" x14ac:dyDescent="0.25">
      <c r="A25" s="13"/>
      <c r="B25" s="13"/>
      <c r="C25" s="13"/>
      <c r="D25" s="13"/>
      <c r="E25" s="13"/>
      <c r="F25" s="13"/>
      <c r="G25" s="13"/>
      <c r="H25" s="13"/>
      <c r="I25" s="14"/>
      <c r="J25" s="13"/>
      <c r="K25" s="13"/>
      <c r="L25" s="13"/>
      <c r="M25" s="13"/>
      <c r="N25" s="13"/>
      <c r="O25" s="13"/>
      <c r="P25" s="13"/>
      <c r="Q25" s="13"/>
      <c r="R25" s="12" t="s">
        <v>51</v>
      </c>
      <c r="S25" s="6" t="s">
        <v>2</v>
      </c>
      <c r="T25" s="5">
        <f>T35</f>
        <v>0.6</v>
      </c>
      <c r="U25" s="5">
        <f>U35+U44</f>
        <v>1.159</v>
      </c>
      <c r="V25" s="5"/>
      <c r="W25" s="5"/>
      <c r="X25" s="5"/>
      <c r="Y25" s="5">
        <f>Y40</f>
        <v>0.7</v>
      </c>
      <c r="Z25" s="3">
        <f>T25+U25+V25+W25+X25+Y25</f>
        <v>2.4589999999999996</v>
      </c>
      <c r="AA25" s="6">
        <v>2026</v>
      </c>
      <c r="AB25" s="75"/>
      <c r="AC25" s="63"/>
      <c r="AD25" s="15"/>
      <c r="AE25" s="16"/>
      <c r="AF25" s="16"/>
    </row>
    <row r="26" spans="1:32" s="2" customFormat="1" ht="30" x14ac:dyDescent="0.25">
      <c r="A26" s="13"/>
      <c r="B26" s="13"/>
      <c r="C26" s="13"/>
      <c r="D26" s="13"/>
      <c r="E26" s="13"/>
      <c r="F26" s="13"/>
      <c r="G26" s="13"/>
      <c r="H26" s="13"/>
      <c r="I26" s="14"/>
      <c r="J26" s="13"/>
      <c r="K26" s="13"/>
      <c r="L26" s="13"/>
      <c r="M26" s="13"/>
      <c r="N26" s="13"/>
      <c r="O26" s="13"/>
      <c r="P26" s="13"/>
      <c r="Q26" s="13"/>
      <c r="R26" s="12" t="s">
        <v>52</v>
      </c>
      <c r="S26" s="6" t="s">
        <v>34</v>
      </c>
      <c r="T26" s="5">
        <f>T36</f>
        <v>11.4</v>
      </c>
      <c r="U26" s="5">
        <f>U36</f>
        <v>11.4</v>
      </c>
      <c r="V26" s="5"/>
      <c r="W26" s="5"/>
      <c r="X26" s="5"/>
      <c r="Y26" s="5"/>
      <c r="Z26" s="3">
        <f>Z36</f>
        <v>11.4</v>
      </c>
      <c r="AA26" s="6">
        <v>2022</v>
      </c>
      <c r="AB26" s="75"/>
      <c r="AC26" s="63"/>
      <c r="AD26" s="15"/>
      <c r="AE26" s="16"/>
      <c r="AF26" s="16"/>
    </row>
    <row r="27" spans="1:32" s="2" customFormat="1" ht="44.25" x14ac:dyDescent="0.25">
      <c r="A27" s="13"/>
      <c r="B27" s="13"/>
      <c r="C27" s="13"/>
      <c r="D27" s="13"/>
      <c r="E27" s="13"/>
      <c r="F27" s="13"/>
      <c r="G27" s="13"/>
      <c r="H27" s="13"/>
      <c r="I27" s="14"/>
      <c r="J27" s="13"/>
      <c r="K27" s="13"/>
      <c r="L27" s="13"/>
      <c r="M27" s="13"/>
      <c r="N27" s="13"/>
      <c r="O27" s="13"/>
      <c r="P27" s="13"/>
      <c r="Q27" s="13"/>
      <c r="R27" s="12" t="s">
        <v>53</v>
      </c>
      <c r="S27" s="6" t="s">
        <v>2</v>
      </c>
      <c r="T27" s="5">
        <f>T30</f>
        <v>0.3</v>
      </c>
      <c r="U27" s="110"/>
      <c r="V27" s="5"/>
      <c r="W27" s="5"/>
      <c r="X27" s="5"/>
      <c r="Y27" s="5"/>
      <c r="Z27" s="3">
        <f>T27+U27+V27+W27+X27+Y27</f>
        <v>0.3</v>
      </c>
      <c r="AA27" s="6">
        <v>2021</v>
      </c>
      <c r="AB27" s="76"/>
      <c r="AC27" s="15"/>
      <c r="AD27" s="15"/>
      <c r="AE27" s="16"/>
      <c r="AF27" s="16"/>
    </row>
    <row r="28" spans="1:32" s="2" customFormat="1" ht="44.25" x14ac:dyDescent="0.25">
      <c r="A28" s="13"/>
      <c r="B28" s="13"/>
      <c r="C28" s="13"/>
      <c r="D28" s="13"/>
      <c r="E28" s="13"/>
      <c r="F28" s="13"/>
      <c r="G28" s="13"/>
      <c r="H28" s="13"/>
      <c r="I28" s="14"/>
      <c r="J28" s="13"/>
      <c r="K28" s="13"/>
      <c r="L28" s="13"/>
      <c r="M28" s="13"/>
      <c r="N28" s="13"/>
      <c r="O28" s="13"/>
      <c r="P28" s="13"/>
      <c r="Q28" s="13"/>
      <c r="R28" s="12" t="s">
        <v>102</v>
      </c>
      <c r="S28" s="6" t="s">
        <v>30</v>
      </c>
      <c r="T28" s="9"/>
      <c r="U28" s="9">
        <f>U47</f>
        <v>2</v>
      </c>
      <c r="V28" s="9">
        <f t="shared" ref="V28:X28" si="6">V47</f>
        <v>7</v>
      </c>
      <c r="W28" s="9">
        <f t="shared" si="6"/>
        <v>7</v>
      </c>
      <c r="X28" s="9">
        <f t="shared" si="6"/>
        <v>10</v>
      </c>
      <c r="Y28" s="9">
        <f>Y39</f>
        <v>1</v>
      </c>
      <c r="Z28" s="4">
        <f>T28+U28+V28+W28+X28+Y28</f>
        <v>27</v>
      </c>
      <c r="AA28" s="6">
        <v>2026</v>
      </c>
      <c r="AB28" s="87"/>
      <c r="AC28" s="15"/>
      <c r="AD28" s="15"/>
      <c r="AE28" s="16"/>
      <c r="AF28" s="16"/>
    </row>
    <row r="29" spans="1:32" s="2" customFormat="1" ht="30" x14ac:dyDescent="0.25">
      <c r="A29" s="21" t="s">
        <v>10</v>
      </c>
      <c r="B29" s="21" t="s">
        <v>11</v>
      </c>
      <c r="C29" s="21" t="s">
        <v>12</v>
      </c>
      <c r="D29" s="21" t="s">
        <v>10</v>
      </c>
      <c r="E29" s="21" t="s">
        <v>20</v>
      </c>
      <c r="F29" s="21" t="s">
        <v>10</v>
      </c>
      <c r="G29" s="21" t="s">
        <v>19</v>
      </c>
      <c r="H29" s="21" t="s">
        <v>10</v>
      </c>
      <c r="I29" s="21" t="s">
        <v>18</v>
      </c>
      <c r="J29" s="21" t="s">
        <v>11</v>
      </c>
      <c r="K29" s="21" t="s">
        <v>10</v>
      </c>
      <c r="L29" s="21" t="s">
        <v>11</v>
      </c>
      <c r="M29" s="21" t="s">
        <v>10</v>
      </c>
      <c r="N29" s="21" t="s">
        <v>10</v>
      </c>
      <c r="O29" s="21" t="s">
        <v>10</v>
      </c>
      <c r="P29" s="21" t="s">
        <v>10</v>
      </c>
      <c r="Q29" s="21" t="s">
        <v>22</v>
      </c>
      <c r="R29" s="22" t="s">
        <v>48</v>
      </c>
      <c r="S29" s="23" t="s">
        <v>33</v>
      </c>
      <c r="T29" s="25">
        <f>18000-5624.5</f>
        <v>12375.5</v>
      </c>
      <c r="U29" s="60"/>
      <c r="V29" s="60"/>
      <c r="W29" s="25"/>
      <c r="X29" s="25"/>
      <c r="Y29" s="25"/>
      <c r="Z29" s="25">
        <f>T29+U29+V29+W29+X29+Y29</f>
        <v>12375.5</v>
      </c>
      <c r="AA29" s="23">
        <v>2021</v>
      </c>
      <c r="AB29" s="73"/>
      <c r="AC29" s="17"/>
      <c r="AD29" s="15"/>
      <c r="AE29" s="16"/>
      <c r="AF29" s="16"/>
    </row>
    <row r="30" spans="1:32" s="16" customFormat="1" ht="29.25" x14ac:dyDescent="0.25">
      <c r="A30" s="13"/>
      <c r="B30" s="13"/>
      <c r="C30" s="13"/>
      <c r="D30" s="13"/>
      <c r="E30" s="13"/>
      <c r="F30" s="13"/>
      <c r="G30" s="13"/>
      <c r="H30" s="13"/>
      <c r="I30" s="14"/>
      <c r="J30" s="13"/>
      <c r="K30" s="13"/>
      <c r="L30" s="13"/>
      <c r="M30" s="13"/>
      <c r="N30" s="13"/>
      <c r="O30" s="13"/>
      <c r="P30" s="13"/>
      <c r="Q30" s="13"/>
      <c r="R30" s="12" t="s">
        <v>49</v>
      </c>
      <c r="S30" s="6" t="s">
        <v>2</v>
      </c>
      <c r="T30" s="5">
        <v>0.3</v>
      </c>
      <c r="U30" s="110"/>
      <c r="V30" s="110"/>
      <c r="W30" s="5"/>
      <c r="X30" s="5"/>
      <c r="Y30" s="5"/>
      <c r="Z30" s="3">
        <f>T30</f>
        <v>0.3</v>
      </c>
      <c r="AA30" s="6">
        <v>2021</v>
      </c>
      <c r="AB30" s="73"/>
      <c r="AC30" s="15"/>
      <c r="AD30" s="15"/>
    </row>
    <row r="31" spans="1:32" s="16" customFormat="1" ht="27.6" customHeight="1" x14ac:dyDescent="0.25">
      <c r="A31" s="21" t="s">
        <v>10</v>
      </c>
      <c r="B31" s="21" t="s">
        <v>11</v>
      </c>
      <c r="C31" s="21" t="s">
        <v>12</v>
      </c>
      <c r="D31" s="21" t="s">
        <v>10</v>
      </c>
      <c r="E31" s="21" t="s">
        <v>20</v>
      </c>
      <c r="F31" s="21" t="s">
        <v>10</v>
      </c>
      <c r="G31" s="21" t="s">
        <v>19</v>
      </c>
      <c r="H31" s="21" t="s">
        <v>10</v>
      </c>
      <c r="I31" s="21" t="s">
        <v>18</v>
      </c>
      <c r="J31" s="21" t="s">
        <v>11</v>
      </c>
      <c r="K31" s="21" t="s">
        <v>10</v>
      </c>
      <c r="L31" s="21" t="s">
        <v>11</v>
      </c>
      <c r="M31" s="21" t="s">
        <v>10</v>
      </c>
      <c r="N31" s="21" t="s">
        <v>10</v>
      </c>
      <c r="O31" s="21" t="s">
        <v>10</v>
      </c>
      <c r="P31" s="21" t="s">
        <v>10</v>
      </c>
      <c r="Q31" s="21" t="s">
        <v>10</v>
      </c>
      <c r="R31" s="127" t="s">
        <v>99</v>
      </c>
      <c r="S31" s="124" t="s">
        <v>33</v>
      </c>
      <c r="T31" s="25">
        <f>T33+T34+T32</f>
        <v>114895.09999999999</v>
      </c>
      <c r="U31" s="25">
        <f>U33+U34+U32</f>
        <v>34339.9</v>
      </c>
      <c r="V31" s="60"/>
      <c r="W31" s="25"/>
      <c r="X31" s="25"/>
      <c r="Y31" s="25"/>
      <c r="Z31" s="25">
        <f t="shared" ref="Z31:Z34" si="7">SUM(T31:Y31)</f>
        <v>149235</v>
      </c>
      <c r="AA31" s="23">
        <v>2022</v>
      </c>
      <c r="AB31" s="76"/>
      <c r="AC31" s="30"/>
      <c r="AD31" s="15"/>
    </row>
    <row r="32" spans="1:32" s="16" customFormat="1" ht="26.45" customHeight="1" x14ac:dyDescent="0.25">
      <c r="A32" s="21" t="s">
        <v>10</v>
      </c>
      <c r="B32" s="21" t="s">
        <v>11</v>
      </c>
      <c r="C32" s="21" t="s">
        <v>12</v>
      </c>
      <c r="D32" s="21" t="s">
        <v>10</v>
      </c>
      <c r="E32" s="21" t="s">
        <v>20</v>
      </c>
      <c r="F32" s="21" t="s">
        <v>10</v>
      </c>
      <c r="G32" s="21" t="s">
        <v>19</v>
      </c>
      <c r="H32" s="21" t="s">
        <v>10</v>
      </c>
      <c r="I32" s="21" t="s">
        <v>18</v>
      </c>
      <c r="J32" s="21" t="s">
        <v>11</v>
      </c>
      <c r="K32" s="21" t="s">
        <v>10</v>
      </c>
      <c r="L32" s="21" t="s">
        <v>11</v>
      </c>
      <c r="M32" s="21" t="s">
        <v>10</v>
      </c>
      <c r="N32" s="21" t="s">
        <v>10</v>
      </c>
      <c r="O32" s="21" t="s">
        <v>18</v>
      </c>
      <c r="P32" s="21" t="s">
        <v>17</v>
      </c>
      <c r="Q32" s="21" t="s">
        <v>19</v>
      </c>
      <c r="R32" s="128"/>
      <c r="S32" s="125"/>
      <c r="T32" s="24">
        <f>828.1+330+110.4-330</f>
        <v>938.5</v>
      </c>
      <c r="U32" s="24">
        <f>420.5-30.5</f>
        <v>390</v>
      </c>
      <c r="V32" s="60"/>
      <c r="W32" s="25"/>
      <c r="X32" s="25"/>
      <c r="Y32" s="25"/>
      <c r="Z32" s="25">
        <f t="shared" si="7"/>
        <v>1328.5</v>
      </c>
      <c r="AA32" s="23">
        <v>2022</v>
      </c>
      <c r="AB32" s="76"/>
      <c r="AC32" s="30"/>
      <c r="AD32" s="15"/>
    </row>
    <row r="33" spans="1:31" s="16" customFormat="1" ht="25.9" customHeight="1" x14ac:dyDescent="0.25">
      <c r="A33" s="21" t="s">
        <v>10</v>
      </c>
      <c r="B33" s="21" t="s">
        <v>11</v>
      </c>
      <c r="C33" s="21" t="s">
        <v>12</v>
      </c>
      <c r="D33" s="21" t="s">
        <v>10</v>
      </c>
      <c r="E33" s="21" t="s">
        <v>20</v>
      </c>
      <c r="F33" s="21" t="s">
        <v>10</v>
      </c>
      <c r="G33" s="21" t="s">
        <v>19</v>
      </c>
      <c r="H33" s="21" t="s">
        <v>10</v>
      </c>
      <c r="I33" s="21" t="s">
        <v>18</v>
      </c>
      <c r="J33" s="21" t="s">
        <v>11</v>
      </c>
      <c r="K33" s="21" t="s">
        <v>10</v>
      </c>
      <c r="L33" s="21" t="s">
        <v>11</v>
      </c>
      <c r="M33" s="21" t="s">
        <v>40</v>
      </c>
      <c r="N33" s="21" t="s">
        <v>10</v>
      </c>
      <c r="O33" s="21" t="s">
        <v>18</v>
      </c>
      <c r="P33" s="21" t="s">
        <v>17</v>
      </c>
      <c r="Q33" s="21" t="s">
        <v>19</v>
      </c>
      <c r="R33" s="128"/>
      <c r="S33" s="125"/>
      <c r="T33" s="24">
        <f>3869.5+7526.2</f>
        <v>11395.7</v>
      </c>
      <c r="U33" s="24">
        <v>3395</v>
      </c>
      <c r="V33" s="56"/>
      <c r="W33" s="24"/>
      <c r="X33" s="24"/>
      <c r="Y33" s="24"/>
      <c r="Z33" s="25">
        <f t="shared" si="7"/>
        <v>14790.7</v>
      </c>
      <c r="AA33" s="23">
        <v>2022</v>
      </c>
      <c r="AB33" s="76"/>
      <c r="AC33" s="30"/>
      <c r="AD33" s="15"/>
    </row>
    <row r="34" spans="1:31" s="16" customFormat="1" ht="27" customHeight="1" x14ac:dyDescent="0.25">
      <c r="A34" s="21" t="s">
        <v>10</v>
      </c>
      <c r="B34" s="21" t="s">
        <v>11</v>
      </c>
      <c r="C34" s="21" t="s">
        <v>12</v>
      </c>
      <c r="D34" s="21" t="s">
        <v>10</v>
      </c>
      <c r="E34" s="21" t="s">
        <v>20</v>
      </c>
      <c r="F34" s="21" t="s">
        <v>10</v>
      </c>
      <c r="G34" s="21" t="s">
        <v>19</v>
      </c>
      <c r="H34" s="21" t="s">
        <v>10</v>
      </c>
      <c r="I34" s="21" t="s">
        <v>18</v>
      </c>
      <c r="J34" s="21" t="s">
        <v>11</v>
      </c>
      <c r="K34" s="21" t="s">
        <v>10</v>
      </c>
      <c r="L34" s="21" t="s">
        <v>11</v>
      </c>
      <c r="M34" s="21" t="s">
        <v>11</v>
      </c>
      <c r="N34" s="21" t="s">
        <v>10</v>
      </c>
      <c r="O34" s="21" t="s">
        <v>18</v>
      </c>
      <c r="P34" s="21" t="s">
        <v>17</v>
      </c>
      <c r="Q34" s="21" t="s">
        <v>19</v>
      </c>
      <c r="R34" s="129"/>
      <c r="S34" s="126"/>
      <c r="T34" s="24">
        <f>34825.4+67735.5</f>
        <v>102560.9</v>
      </c>
      <c r="U34" s="24">
        <v>30554.9</v>
      </c>
      <c r="V34" s="56"/>
      <c r="W34" s="24"/>
      <c r="X34" s="24"/>
      <c r="Y34" s="24"/>
      <c r="Z34" s="25">
        <f t="shared" si="7"/>
        <v>133115.79999999999</v>
      </c>
      <c r="AA34" s="23">
        <v>2022</v>
      </c>
      <c r="AB34" s="87"/>
      <c r="AC34" s="30"/>
      <c r="AD34" s="15"/>
    </row>
    <row r="35" spans="1:31" s="16" customFormat="1" ht="29.25" x14ac:dyDescent="0.25">
      <c r="A35" s="13"/>
      <c r="B35" s="13"/>
      <c r="C35" s="13"/>
      <c r="D35" s="13"/>
      <c r="E35" s="13"/>
      <c r="F35" s="13"/>
      <c r="G35" s="13"/>
      <c r="H35" s="13"/>
      <c r="I35" s="14"/>
      <c r="J35" s="13"/>
      <c r="K35" s="13"/>
      <c r="L35" s="13"/>
      <c r="M35" s="13"/>
      <c r="N35" s="13"/>
      <c r="O35" s="13"/>
      <c r="P35" s="13"/>
      <c r="Q35" s="13"/>
      <c r="R35" s="12" t="s">
        <v>144</v>
      </c>
      <c r="S35" s="86" t="s">
        <v>2</v>
      </c>
      <c r="T35" s="5">
        <v>0.6</v>
      </c>
      <c r="U35" s="61">
        <v>0.67900000000000005</v>
      </c>
      <c r="V35" s="113"/>
      <c r="W35" s="61"/>
      <c r="X35" s="61"/>
      <c r="Y35" s="61"/>
      <c r="Z35" s="62">
        <f>U35</f>
        <v>0.67900000000000005</v>
      </c>
      <c r="AA35" s="6">
        <v>2022</v>
      </c>
      <c r="AB35" s="76"/>
      <c r="AC35" s="30"/>
      <c r="AD35" s="15"/>
    </row>
    <row r="36" spans="1:31" s="16" customFormat="1" ht="30" x14ac:dyDescent="0.25">
      <c r="A36" s="13"/>
      <c r="B36" s="13"/>
      <c r="C36" s="13"/>
      <c r="D36" s="13"/>
      <c r="E36" s="13"/>
      <c r="F36" s="13"/>
      <c r="G36" s="13"/>
      <c r="H36" s="13"/>
      <c r="I36" s="14"/>
      <c r="J36" s="13"/>
      <c r="K36" s="13"/>
      <c r="L36" s="13"/>
      <c r="M36" s="13"/>
      <c r="N36" s="13"/>
      <c r="O36" s="13"/>
      <c r="P36" s="13"/>
      <c r="Q36" s="13"/>
      <c r="R36" s="12" t="s">
        <v>145</v>
      </c>
      <c r="S36" s="6" t="s">
        <v>34</v>
      </c>
      <c r="T36" s="5">
        <v>11.4</v>
      </c>
      <c r="U36" s="5">
        <v>11.4</v>
      </c>
      <c r="V36" s="112"/>
      <c r="W36" s="9"/>
      <c r="X36" s="9"/>
      <c r="Y36" s="9"/>
      <c r="Z36" s="3">
        <v>11.4</v>
      </c>
      <c r="AA36" s="8">
        <v>2022</v>
      </c>
      <c r="AB36" s="76"/>
      <c r="AC36" s="30"/>
      <c r="AD36" s="15"/>
    </row>
    <row r="37" spans="1:31" s="16" customFormat="1" ht="29.25" x14ac:dyDescent="0.25">
      <c r="A37" s="13"/>
      <c r="B37" s="13"/>
      <c r="C37" s="13"/>
      <c r="D37" s="13"/>
      <c r="E37" s="13"/>
      <c r="F37" s="13"/>
      <c r="G37" s="13"/>
      <c r="H37" s="13"/>
      <c r="I37" s="14"/>
      <c r="J37" s="13"/>
      <c r="K37" s="13"/>
      <c r="L37" s="13"/>
      <c r="M37" s="13"/>
      <c r="N37" s="13"/>
      <c r="O37" s="13"/>
      <c r="P37" s="13"/>
      <c r="Q37" s="13"/>
      <c r="R37" s="12" t="s">
        <v>143</v>
      </c>
      <c r="S37" s="6" t="s">
        <v>1</v>
      </c>
      <c r="T37" s="5">
        <v>100</v>
      </c>
      <c r="U37" s="5">
        <v>100</v>
      </c>
      <c r="V37" s="112"/>
      <c r="W37" s="9"/>
      <c r="X37" s="9"/>
      <c r="Y37" s="9"/>
      <c r="Z37" s="3">
        <v>100</v>
      </c>
      <c r="AA37" s="8">
        <v>2022</v>
      </c>
      <c r="AB37" s="101"/>
      <c r="AC37" s="30"/>
      <c r="AD37" s="15"/>
    </row>
    <row r="38" spans="1:31" s="16" customFormat="1" ht="60" x14ac:dyDescent="0.25">
      <c r="A38" s="21" t="s">
        <v>10</v>
      </c>
      <c r="B38" s="21" t="s">
        <v>11</v>
      </c>
      <c r="C38" s="21" t="s">
        <v>12</v>
      </c>
      <c r="D38" s="21" t="s">
        <v>10</v>
      </c>
      <c r="E38" s="21" t="s">
        <v>20</v>
      </c>
      <c r="F38" s="21" t="s">
        <v>10</v>
      </c>
      <c r="G38" s="21" t="s">
        <v>19</v>
      </c>
      <c r="H38" s="21" t="s">
        <v>10</v>
      </c>
      <c r="I38" s="21" t="s">
        <v>18</v>
      </c>
      <c r="J38" s="21" t="s">
        <v>11</v>
      </c>
      <c r="K38" s="21" t="s">
        <v>10</v>
      </c>
      <c r="L38" s="21" t="s">
        <v>11</v>
      </c>
      <c r="M38" s="21" t="s">
        <v>10</v>
      </c>
      <c r="N38" s="21" t="s">
        <v>10</v>
      </c>
      <c r="O38" s="21" t="s">
        <v>10</v>
      </c>
      <c r="P38" s="21" t="s">
        <v>22</v>
      </c>
      <c r="Q38" s="21" t="s">
        <v>12</v>
      </c>
      <c r="R38" s="22" t="s">
        <v>185</v>
      </c>
      <c r="S38" s="23" t="s">
        <v>33</v>
      </c>
      <c r="T38" s="25"/>
      <c r="U38" s="60"/>
      <c r="V38" s="60"/>
      <c r="W38" s="25"/>
      <c r="X38" s="25"/>
      <c r="Y38" s="25">
        <v>136230.79999999999</v>
      </c>
      <c r="Z38" s="25">
        <f>T38+U38+V38+W38+X38+Y38</f>
        <v>136230.79999999999</v>
      </c>
      <c r="AA38" s="58">
        <v>2026</v>
      </c>
      <c r="AB38" s="84"/>
      <c r="AC38" s="15"/>
      <c r="AD38" s="15"/>
    </row>
    <row r="39" spans="1:31" s="16" customFormat="1" ht="29.25" x14ac:dyDescent="0.25">
      <c r="A39" s="13"/>
      <c r="B39" s="13"/>
      <c r="C39" s="13"/>
      <c r="D39" s="13"/>
      <c r="E39" s="13"/>
      <c r="F39" s="13"/>
      <c r="G39" s="13"/>
      <c r="H39" s="13"/>
      <c r="I39" s="14"/>
      <c r="J39" s="13"/>
      <c r="K39" s="13"/>
      <c r="L39" s="13"/>
      <c r="M39" s="13"/>
      <c r="N39" s="13"/>
      <c r="O39" s="13"/>
      <c r="P39" s="13"/>
      <c r="Q39" s="13"/>
      <c r="R39" s="12" t="s">
        <v>100</v>
      </c>
      <c r="S39" s="6" t="s">
        <v>30</v>
      </c>
      <c r="T39" s="9"/>
      <c r="U39" s="112"/>
      <c r="V39" s="112"/>
      <c r="W39" s="9"/>
      <c r="X39" s="9"/>
      <c r="Y39" s="9">
        <v>1</v>
      </c>
      <c r="Z39" s="4">
        <f>Y39</f>
        <v>1</v>
      </c>
      <c r="AA39" s="6">
        <v>2026</v>
      </c>
      <c r="AB39" s="76"/>
      <c r="AC39" s="15"/>
      <c r="AD39" s="15"/>
    </row>
    <row r="40" spans="1:31" s="16" customFormat="1" ht="29.25" x14ac:dyDescent="0.25">
      <c r="A40" s="13"/>
      <c r="B40" s="13"/>
      <c r="C40" s="13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3"/>
      <c r="O40" s="13"/>
      <c r="P40" s="13"/>
      <c r="Q40" s="13"/>
      <c r="R40" s="12" t="s">
        <v>101</v>
      </c>
      <c r="S40" s="6" t="s">
        <v>2</v>
      </c>
      <c r="T40" s="5"/>
      <c r="U40" s="110"/>
      <c r="V40" s="110"/>
      <c r="W40" s="5"/>
      <c r="X40" s="5"/>
      <c r="Y40" s="5">
        <v>0.7</v>
      </c>
      <c r="Z40" s="3">
        <f>X40+Y40</f>
        <v>0.7</v>
      </c>
      <c r="AA40" s="6">
        <v>2026</v>
      </c>
      <c r="AB40" s="76"/>
      <c r="AC40" s="15"/>
      <c r="AD40" s="15"/>
    </row>
    <row r="41" spans="1:31" s="93" customFormat="1" ht="27" customHeight="1" x14ac:dyDescent="0.25">
      <c r="A41" s="21" t="s">
        <v>10</v>
      </c>
      <c r="B41" s="21" t="s">
        <v>11</v>
      </c>
      <c r="C41" s="21" t="s">
        <v>12</v>
      </c>
      <c r="D41" s="21" t="s">
        <v>10</v>
      </c>
      <c r="E41" s="21" t="s">
        <v>20</v>
      </c>
      <c r="F41" s="21" t="s">
        <v>10</v>
      </c>
      <c r="G41" s="21" t="s">
        <v>19</v>
      </c>
      <c r="H41" s="21" t="s">
        <v>10</v>
      </c>
      <c r="I41" s="21" t="s">
        <v>18</v>
      </c>
      <c r="J41" s="21" t="s">
        <v>11</v>
      </c>
      <c r="K41" s="21" t="s">
        <v>10</v>
      </c>
      <c r="L41" s="21" t="s">
        <v>11</v>
      </c>
      <c r="M41" s="21" t="s">
        <v>10</v>
      </c>
      <c r="N41" s="21" t="s">
        <v>10</v>
      </c>
      <c r="O41" s="21" t="s">
        <v>10</v>
      </c>
      <c r="P41" s="21" t="s">
        <v>10</v>
      </c>
      <c r="Q41" s="21" t="s">
        <v>10</v>
      </c>
      <c r="R41" s="127" t="s">
        <v>186</v>
      </c>
      <c r="S41" s="124" t="s">
        <v>33</v>
      </c>
      <c r="T41" s="25"/>
      <c r="U41" s="25">
        <f>U42+U43</f>
        <v>122007</v>
      </c>
      <c r="V41" s="114"/>
      <c r="W41" s="50"/>
      <c r="X41" s="24"/>
      <c r="Y41" s="24"/>
      <c r="Z41" s="25">
        <f>U41</f>
        <v>122007</v>
      </c>
      <c r="AA41" s="23">
        <v>2022</v>
      </c>
      <c r="AB41" s="90"/>
      <c r="AC41" s="91"/>
      <c r="AD41" s="92"/>
    </row>
    <row r="42" spans="1:31" s="93" customFormat="1" ht="27" customHeight="1" x14ac:dyDescent="0.25">
      <c r="A42" s="21" t="s">
        <v>10</v>
      </c>
      <c r="B42" s="21" t="s">
        <v>11</v>
      </c>
      <c r="C42" s="21" t="s">
        <v>12</v>
      </c>
      <c r="D42" s="21" t="s">
        <v>10</v>
      </c>
      <c r="E42" s="21" t="s">
        <v>20</v>
      </c>
      <c r="F42" s="21" t="s">
        <v>10</v>
      </c>
      <c r="G42" s="21" t="s">
        <v>19</v>
      </c>
      <c r="H42" s="21" t="s">
        <v>10</v>
      </c>
      <c r="I42" s="21" t="s">
        <v>18</v>
      </c>
      <c r="J42" s="21" t="s">
        <v>11</v>
      </c>
      <c r="K42" s="21" t="s">
        <v>146</v>
      </c>
      <c r="L42" s="21" t="s">
        <v>11</v>
      </c>
      <c r="M42" s="21" t="s">
        <v>10</v>
      </c>
      <c r="N42" s="21" t="s">
        <v>10</v>
      </c>
      <c r="O42" s="21" t="s">
        <v>12</v>
      </c>
      <c r="P42" s="21" t="s">
        <v>11</v>
      </c>
      <c r="Q42" s="21" t="s">
        <v>10</v>
      </c>
      <c r="R42" s="128"/>
      <c r="S42" s="125"/>
      <c r="T42" s="24"/>
      <c r="U42" s="24">
        <f>2595.4-1274.7-0.1-591.3</f>
        <v>729.30000000000018</v>
      </c>
      <c r="V42" s="114"/>
      <c r="W42" s="50"/>
      <c r="X42" s="50"/>
      <c r="Y42" s="25"/>
      <c r="Z42" s="25">
        <f t="shared" ref="Z42:Z44" si="8">U42</f>
        <v>729.30000000000018</v>
      </c>
      <c r="AA42" s="23">
        <v>2022</v>
      </c>
      <c r="AB42" s="74"/>
      <c r="AC42" s="94"/>
      <c r="AD42" s="95"/>
      <c r="AE42" s="96"/>
    </row>
    <row r="43" spans="1:31" s="93" customFormat="1" ht="27" customHeight="1" x14ac:dyDescent="0.25">
      <c r="A43" s="21" t="s">
        <v>10</v>
      </c>
      <c r="B43" s="21" t="s">
        <v>11</v>
      </c>
      <c r="C43" s="21" t="s">
        <v>12</v>
      </c>
      <c r="D43" s="21" t="s">
        <v>10</v>
      </c>
      <c r="E43" s="21" t="s">
        <v>20</v>
      </c>
      <c r="F43" s="21" t="s">
        <v>10</v>
      </c>
      <c r="G43" s="21" t="s">
        <v>19</v>
      </c>
      <c r="H43" s="21" t="s">
        <v>10</v>
      </c>
      <c r="I43" s="21" t="s">
        <v>18</v>
      </c>
      <c r="J43" s="21" t="s">
        <v>11</v>
      </c>
      <c r="K43" s="21" t="s">
        <v>146</v>
      </c>
      <c r="L43" s="21" t="s">
        <v>11</v>
      </c>
      <c r="M43" s="21" t="s">
        <v>17</v>
      </c>
      <c r="N43" s="21" t="s">
        <v>10</v>
      </c>
      <c r="O43" s="21" t="s">
        <v>12</v>
      </c>
      <c r="P43" s="21" t="s">
        <v>11</v>
      </c>
      <c r="Q43" s="21" t="s">
        <v>10</v>
      </c>
      <c r="R43" s="129"/>
      <c r="S43" s="126"/>
      <c r="T43" s="24"/>
      <c r="U43" s="24">
        <f>727.7+120550</f>
        <v>121277.7</v>
      </c>
      <c r="V43" s="114"/>
      <c r="W43" s="50"/>
      <c r="X43" s="50"/>
      <c r="Y43" s="25"/>
      <c r="Z43" s="25">
        <f t="shared" si="8"/>
        <v>121277.7</v>
      </c>
      <c r="AA43" s="23">
        <v>2022</v>
      </c>
      <c r="AB43" s="74"/>
      <c r="AC43" s="94"/>
      <c r="AD43" s="95"/>
      <c r="AE43" s="96"/>
    </row>
    <row r="44" spans="1:31" s="16" customFormat="1" ht="30" x14ac:dyDescent="0.25">
      <c r="A44" s="13"/>
      <c r="B44" s="13"/>
      <c r="C44" s="13"/>
      <c r="D44" s="13"/>
      <c r="E44" s="13"/>
      <c r="F44" s="13"/>
      <c r="G44" s="13"/>
      <c r="H44" s="13"/>
      <c r="I44" s="14"/>
      <c r="J44" s="13"/>
      <c r="K44" s="13"/>
      <c r="L44" s="13"/>
      <c r="M44" s="13"/>
      <c r="N44" s="13"/>
      <c r="O44" s="13"/>
      <c r="P44" s="13"/>
      <c r="Q44" s="13"/>
      <c r="R44" s="7" t="s">
        <v>155</v>
      </c>
      <c r="S44" s="6" t="s">
        <v>2</v>
      </c>
      <c r="T44" s="5"/>
      <c r="U44" s="5">
        <v>0.48</v>
      </c>
      <c r="V44" s="110"/>
      <c r="W44" s="5"/>
      <c r="X44" s="5"/>
      <c r="Y44" s="5"/>
      <c r="Z44" s="3">
        <f t="shared" si="8"/>
        <v>0.48</v>
      </c>
      <c r="AA44" s="8">
        <v>2022</v>
      </c>
      <c r="AB44" s="97"/>
      <c r="AC44" s="64"/>
      <c r="AD44" s="65"/>
      <c r="AE44" s="66"/>
    </row>
    <row r="45" spans="1:31" s="16" customFormat="1" ht="30" x14ac:dyDescent="0.25">
      <c r="A45" s="21" t="s">
        <v>10</v>
      </c>
      <c r="B45" s="21" t="s">
        <v>11</v>
      </c>
      <c r="C45" s="21" t="s">
        <v>12</v>
      </c>
      <c r="D45" s="21" t="s">
        <v>10</v>
      </c>
      <c r="E45" s="21" t="s">
        <v>20</v>
      </c>
      <c r="F45" s="21" t="s">
        <v>10</v>
      </c>
      <c r="G45" s="21" t="s">
        <v>19</v>
      </c>
      <c r="H45" s="21" t="s">
        <v>10</v>
      </c>
      <c r="I45" s="21" t="s">
        <v>18</v>
      </c>
      <c r="J45" s="21" t="s">
        <v>11</v>
      </c>
      <c r="K45" s="21" t="s">
        <v>10</v>
      </c>
      <c r="L45" s="21" t="s">
        <v>11</v>
      </c>
      <c r="M45" s="21" t="s">
        <v>10</v>
      </c>
      <c r="N45" s="21" t="s">
        <v>10</v>
      </c>
      <c r="O45" s="21" t="s">
        <v>10</v>
      </c>
      <c r="P45" s="21" t="s">
        <v>20</v>
      </c>
      <c r="Q45" s="21" t="s">
        <v>12</v>
      </c>
      <c r="R45" s="45" t="s">
        <v>187</v>
      </c>
      <c r="S45" s="23" t="s">
        <v>33</v>
      </c>
      <c r="T45" s="25"/>
      <c r="U45" s="25">
        <f>4346.4-3446.4</f>
        <v>899.99999999999955</v>
      </c>
      <c r="V45" s="25">
        <v>14024</v>
      </c>
      <c r="W45" s="25">
        <v>2751.4</v>
      </c>
      <c r="X45" s="25">
        <v>6676.4</v>
      </c>
      <c r="Y45" s="25"/>
      <c r="Z45" s="25">
        <f>T45+U45+V45+W45+X45+Y45</f>
        <v>24351.800000000003</v>
      </c>
      <c r="AA45" s="23">
        <v>2025</v>
      </c>
      <c r="AB45" s="74"/>
      <c r="AC45" s="64"/>
      <c r="AD45" s="65"/>
      <c r="AE45" s="66"/>
    </row>
    <row r="46" spans="1:31" s="16" customFormat="1" ht="29.25" x14ac:dyDescent="0.25">
      <c r="A46" s="13"/>
      <c r="B46" s="13"/>
      <c r="C46" s="13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3"/>
      <c r="Q46" s="13"/>
      <c r="R46" s="12" t="s">
        <v>105</v>
      </c>
      <c r="S46" s="6" t="s">
        <v>2</v>
      </c>
      <c r="T46" s="61"/>
      <c r="U46" s="115"/>
      <c r="V46" s="61">
        <v>1.825</v>
      </c>
      <c r="W46" s="5"/>
      <c r="X46" s="61"/>
      <c r="Y46" s="61"/>
      <c r="Z46" s="62">
        <f>U46+V46+W46+X46+Y46</f>
        <v>1.825</v>
      </c>
      <c r="AA46" s="6">
        <v>2023</v>
      </c>
      <c r="AB46" s="74"/>
      <c r="AC46" s="64"/>
      <c r="AD46" s="65"/>
      <c r="AE46" s="66"/>
    </row>
    <row r="47" spans="1:31" s="16" customFormat="1" ht="29.25" x14ac:dyDescent="0.25">
      <c r="A47" s="13"/>
      <c r="B47" s="13"/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3"/>
      <c r="Q47" s="13"/>
      <c r="R47" s="12" t="s">
        <v>141</v>
      </c>
      <c r="S47" s="6" t="s">
        <v>30</v>
      </c>
      <c r="T47" s="61"/>
      <c r="U47" s="9">
        <v>2</v>
      </c>
      <c r="V47" s="9">
        <v>7</v>
      </c>
      <c r="W47" s="9">
        <v>7</v>
      </c>
      <c r="X47" s="9">
        <v>10</v>
      </c>
      <c r="Y47" s="9"/>
      <c r="Z47" s="4">
        <f>U47+V47+W47+X47+Y47</f>
        <v>26</v>
      </c>
      <c r="AA47" s="6">
        <v>2025</v>
      </c>
      <c r="AB47" s="74"/>
      <c r="AC47" s="64"/>
      <c r="AD47" s="65"/>
      <c r="AE47" s="66"/>
    </row>
    <row r="48" spans="1:31" s="16" customFormat="1" ht="27.6" customHeight="1" x14ac:dyDescent="0.25">
      <c r="A48" s="21" t="s">
        <v>10</v>
      </c>
      <c r="B48" s="21" t="s">
        <v>11</v>
      </c>
      <c r="C48" s="21" t="s">
        <v>12</v>
      </c>
      <c r="D48" s="21" t="s">
        <v>10</v>
      </c>
      <c r="E48" s="21" t="s">
        <v>20</v>
      </c>
      <c r="F48" s="21" t="s">
        <v>10</v>
      </c>
      <c r="G48" s="21" t="s">
        <v>19</v>
      </c>
      <c r="H48" s="21" t="s">
        <v>10</v>
      </c>
      <c r="I48" s="21" t="s">
        <v>18</v>
      </c>
      <c r="J48" s="21" t="s">
        <v>11</v>
      </c>
      <c r="K48" s="21" t="s">
        <v>10</v>
      </c>
      <c r="L48" s="21" t="s">
        <v>11</v>
      </c>
      <c r="M48" s="21" t="s">
        <v>10</v>
      </c>
      <c r="N48" s="21" t="s">
        <v>10</v>
      </c>
      <c r="O48" s="21" t="s">
        <v>10</v>
      </c>
      <c r="P48" s="21" t="s">
        <v>10</v>
      </c>
      <c r="Q48" s="21" t="s">
        <v>10</v>
      </c>
      <c r="R48" s="121" t="s">
        <v>179</v>
      </c>
      <c r="S48" s="124" t="s">
        <v>33</v>
      </c>
      <c r="T48" s="25">
        <f>T49+T50+T51</f>
        <v>7611.3</v>
      </c>
      <c r="U48" s="60"/>
      <c r="V48" s="56"/>
      <c r="W48" s="24"/>
      <c r="X48" s="24"/>
      <c r="Y48" s="24"/>
      <c r="Z48" s="25">
        <f>T48+U48+V48+W48+X48+Y48</f>
        <v>7611.3</v>
      </c>
      <c r="AA48" s="23">
        <v>2021</v>
      </c>
      <c r="AB48" s="77"/>
      <c r="AC48" s="30"/>
      <c r="AD48" s="15"/>
    </row>
    <row r="49" spans="1:31" s="16" customFormat="1" ht="27.6" customHeight="1" x14ac:dyDescent="0.25">
      <c r="A49" s="21" t="s">
        <v>10</v>
      </c>
      <c r="B49" s="21" t="s">
        <v>11</v>
      </c>
      <c r="C49" s="21" t="s">
        <v>12</v>
      </c>
      <c r="D49" s="21" t="s">
        <v>10</v>
      </c>
      <c r="E49" s="21" t="s">
        <v>20</v>
      </c>
      <c r="F49" s="21" t="s">
        <v>10</v>
      </c>
      <c r="G49" s="21" t="s">
        <v>19</v>
      </c>
      <c r="H49" s="21" t="s">
        <v>10</v>
      </c>
      <c r="I49" s="21" t="s">
        <v>18</v>
      </c>
      <c r="J49" s="21" t="s">
        <v>11</v>
      </c>
      <c r="K49" s="21" t="s">
        <v>10</v>
      </c>
      <c r="L49" s="21" t="s">
        <v>11</v>
      </c>
      <c r="M49" s="21" t="s">
        <v>10</v>
      </c>
      <c r="N49" s="21" t="s">
        <v>10</v>
      </c>
      <c r="O49" s="21" t="s">
        <v>18</v>
      </c>
      <c r="P49" s="21" t="s">
        <v>17</v>
      </c>
      <c r="Q49" s="21" t="s">
        <v>113</v>
      </c>
      <c r="R49" s="122"/>
      <c r="S49" s="125"/>
      <c r="T49" s="24">
        <v>493.1</v>
      </c>
      <c r="U49" s="60"/>
      <c r="V49" s="56"/>
      <c r="W49" s="24"/>
      <c r="X49" s="24"/>
      <c r="Y49" s="24"/>
      <c r="Z49" s="25">
        <f>T49</f>
        <v>493.1</v>
      </c>
      <c r="AA49" s="23">
        <v>2021</v>
      </c>
      <c r="AB49" s="77"/>
      <c r="AC49" s="30"/>
      <c r="AD49" s="15"/>
    </row>
    <row r="50" spans="1:31" s="16" customFormat="1" ht="27.6" customHeight="1" x14ac:dyDescent="0.25">
      <c r="A50" s="21" t="s">
        <v>10</v>
      </c>
      <c r="B50" s="21" t="s">
        <v>11</v>
      </c>
      <c r="C50" s="21" t="s">
        <v>12</v>
      </c>
      <c r="D50" s="21" t="s">
        <v>10</v>
      </c>
      <c r="E50" s="21" t="s">
        <v>20</v>
      </c>
      <c r="F50" s="21" t="s">
        <v>10</v>
      </c>
      <c r="G50" s="21" t="s">
        <v>19</v>
      </c>
      <c r="H50" s="21" t="s">
        <v>10</v>
      </c>
      <c r="I50" s="21" t="s">
        <v>18</v>
      </c>
      <c r="J50" s="21" t="s">
        <v>11</v>
      </c>
      <c r="K50" s="21" t="s">
        <v>10</v>
      </c>
      <c r="L50" s="21" t="s">
        <v>11</v>
      </c>
      <c r="M50" s="21" t="s">
        <v>40</v>
      </c>
      <c r="N50" s="21" t="s">
        <v>10</v>
      </c>
      <c r="O50" s="21" t="s">
        <v>18</v>
      </c>
      <c r="P50" s="21" t="s">
        <v>17</v>
      </c>
      <c r="Q50" s="21" t="s">
        <v>113</v>
      </c>
      <c r="R50" s="122"/>
      <c r="S50" s="125"/>
      <c r="T50" s="24">
        <f>687.6+24.3</f>
        <v>711.9</v>
      </c>
      <c r="U50" s="60"/>
      <c r="V50" s="56"/>
      <c r="W50" s="24"/>
      <c r="X50" s="24"/>
      <c r="Y50" s="24"/>
      <c r="Z50" s="25">
        <f>T50+U50+V50+W50+X50+Y50</f>
        <v>711.9</v>
      </c>
      <c r="AA50" s="23">
        <v>2021</v>
      </c>
      <c r="AB50" s="77"/>
      <c r="AC50" s="30"/>
      <c r="AD50" s="15"/>
    </row>
    <row r="51" spans="1:31" s="16" customFormat="1" ht="27.6" customHeight="1" x14ac:dyDescent="0.25">
      <c r="A51" s="21" t="s">
        <v>10</v>
      </c>
      <c r="B51" s="21" t="s">
        <v>11</v>
      </c>
      <c r="C51" s="21" t="s">
        <v>12</v>
      </c>
      <c r="D51" s="21" t="s">
        <v>10</v>
      </c>
      <c r="E51" s="21" t="s">
        <v>20</v>
      </c>
      <c r="F51" s="21" t="s">
        <v>10</v>
      </c>
      <c r="G51" s="21" t="s">
        <v>19</v>
      </c>
      <c r="H51" s="21" t="s">
        <v>10</v>
      </c>
      <c r="I51" s="21" t="s">
        <v>18</v>
      </c>
      <c r="J51" s="21" t="s">
        <v>11</v>
      </c>
      <c r="K51" s="21" t="s">
        <v>10</v>
      </c>
      <c r="L51" s="21" t="s">
        <v>11</v>
      </c>
      <c r="M51" s="21" t="s">
        <v>11</v>
      </c>
      <c r="N51" s="21" t="s">
        <v>10</v>
      </c>
      <c r="O51" s="21" t="s">
        <v>18</v>
      </c>
      <c r="P51" s="21" t="s">
        <v>17</v>
      </c>
      <c r="Q51" s="21" t="s">
        <v>113</v>
      </c>
      <c r="R51" s="123"/>
      <c r="S51" s="126"/>
      <c r="T51" s="24">
        <f>6188+218.3</f>
        <v>6406.3</v>
      </c>
      <c r="U51" s="60"/>
      <c r="V51" s="56"/>
      <c r="W51" s="24"/>
      <c r="X51" s="24"/>
      <c r="Y51" s="25"/>
      <c r="Z51" s="25">
        <f>T51+U51+V51+W51+X51+Y51</f>
        <v>6406.3</v>
      </c>
      <c r="AA51" s="23">
        <v>2021</v>
      </c>
      <c r="AB51" s="77"/>
      <c r="AC51" s="30"/>
      <c r="AD51" s="15"/>
    </row>
    <row r="52" spans="1:31" s="16" customFormat="1" ht="29.25" x14ac:dyDescent="0.25">
      <c r="A52" s="13"/>
      <c r="B52" s="13"/>
      <c r="C52" s="13"/>
      <c r="D52" s="13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3"/>
      <c r="P52" s="13"/>
      <c r="Q52" s="13"/>
      <c r="R52" s="12" t="s">
        <v>105</v>
      </c>
      <c r="S52" s="6" t="s">
        <v>2</v>
      </c>
      <c r="T52" s="5">
        <v>2.5</v>
      </c>
      <c r="U52" s="112"/>
      <c r="V52" s="112"/>
      <c r="W52" s="9"/>
      <c r="X52" s="5"/>
      <c r="Y52" s="5"/>
      <c r="Z52" s="3">
        <f t="shared" ref="Z52:Z64" si="9">T52</f>
        <v>2.5</v>
      </c>
      <c r="AA52" s="6">
        <v>2021</v>
      </c>
      <c r="AB52" s="77"/>
      <c r="AC52" s="30"/>
      <c r="AD52" s="15"/>
    </row>
    <row r="53" spans="1:31" s="16" customFormat="1" ht="27" customHeight="1" x14ac:dyDescent="0.25">
      <c r="A53" s="21" t="s">
        <v>10</v>
      </c>
      <c r="B53" s="21" t="s">
        <v>11</v>
      </c>
      <c r="C53" s="21" t="s">
        <v>12</v>
      </c>
      <c r="D53" s="21" t="s">
        <v>10</v>
      </c>
      <c r="E53" s="21" t="s">
        <v>20</v>
      </c>
      <c r="F53" s="21" t="s">
        <v>11</v>
      </c>
      <c r="G53" s="21" t="s">
        <v>12</v>
      </c>
      <c r="H53" s="21" t="s">
        <v>10</v>
      </c>
      <c r="I53" s="21" t="s">
        <v>18</v>
      </c>
      <c r="J53" s="21" t="s">
        <v>11</v>
      </c>
      <c r="K53" s="21" t="s">
        <v>10</v>
      </c>
      <c r="L53" s="21" t="s">
        <v>11</v>
      </c>
      <c r="M53" s="21" t="s">
        <v>10</v>
      </c>
      <c r="N53" s="21" t="s">
        <v>10</v>
      </c>
      <c r="O53" s="21" t="s">
        <v>10</v>
      </c>
      <c r="P53" s="21" t="s">
        <v>10</v>
      </c>
      <c r="Q53" s="21" t="s">
        <v>10</v>
      </c>
      <c r="R53" s="127" t="s">
        <v>180</v>
      </c>
      <c r="S53" s="124" t="s">
        <v>33</v>
      </c>
      <c r="T53" s="25">
        <f>T54+T55</f>
        <v>8212.2000000000007</v>
      </c>
      <c r="U53" s="114"/>
      <c r="V53" s="114"/>
      <c r="W53" s="50"/>
      <c r="X53" s="24"/>
      <c r="Y53" s="24"/>
      <c r="Z53" s="25">
        <f t="shared" si="9"/>
        <v>8212.2000000000007</v>
      </c>
      <c r="AA53" s="23">
        <v>2021</v>
      </c>
      <c r="AB53" s="77"/>
      <c r="AC53" s="30"/>
      <c r="AD53" s="15"/>
    </row>
    <row r="54" spans="1:31" s="16" customFormat="1" ht="27" customHeight="1" x14ac:dyDescent="0.25">
      <c r="A54" s="21" t="s">
        <v>10</v>
      </c>
      <c r="B54" s="21" t="s">
        <v>11</v>
      </c>
      <c r="C54" s="21" t="s">
        <v>12</v>
      </c>
      <c r="D54" s="21" t="s">
        <v>10</v>
      </c>
      <c r="E54" s="21" t="s">
        <v>20</v>
      </c>
      <c r="F54" s="21" t="s">
        <v>11</v>
      </c>
      <c r="G54" s="21" t="s">
        <v>12</v>
      </c>
      <c r="H54" s="21" t="s">
        <v>10</v>
      </c>
      <c r="I54" s="21" t="s">
        <v>18</v>
      </c>
      <c r="J54" s="21" t="s">
        <v>11</v>
      </c>
      <c r="K54" s="21" t="s">
        <v>117</v>
      </c>
      <c r="L54" s="21" t="s">
        <v>11</v>
      </c>
      <c r="M54" s="21" t="s">
        <v>10</v>
      </c>
      <c r="N54" s="21" t="s">
        <v>10</v>
      </c>
      <c r="O54" s="21" t="s">
        <v>21</v>
      </c>
      <c r="P54" s="21" t="s">
        <v>22</v>
      </c>
      <c r="Q54" s="21" t="s">
        <v>11</v>
      </c>
      <c r="R54" s="128"/>
      <c r="S54" s="125"/>
      <c r="T54" s="24">
        <f>350-262.6+298.2-44.8</f>
        <v>340.79999999999995</v>
      </c>
      <c r="U54" s="114"/>
      <c r="V54" s="114"/>
      <c r="W54" s="50"/>
      <c r="X54" s="50"/>
      <c r="Y54" s="25"/>
      <c r="Z54" s="25">
        <f t="shared" si="9"/>
        <v>340.79999999999995</v>
      </c>
      <c r="AA54" s="23">
        <v>2021</v>
      </c>
      <c r="AB54" s="74"/>
      <c r="AC54" s="64"/>
      <c r="AD54" s="65"/>
      <c r="AE54" s="66"/>
    </row>
    <row r="55" spans="1:31" s="16" customFormat="1" ht="27" customHeight="1" x14ac:dyDescent="0.25">
      <c r="A55" s="21" t="s">
        <v>10</v>
      </c>
      <c r="B55" s="21" t="s">
        <v>11</v>
      </c>
      <c r="C55" s="21" t="s">
        <v>12</v>
      </c>
      <c r="D55" s="21" t="s">
        <v>10</v>
      </c>
      <c r="E55" s="21" t="s">
        <v>20</v>
      </c>
      <c r="F55" s="21" t="s">
        <v>11</v>
      </c>
      <c r="G55" s="21" t="s">
        <v>12</v>
      </c>
      <c r="H55" s="21" t="s">
        <v>10</v>
      </c>
      <c r="I55" s="21" t="s">
        <v>18</v>
      </c>
      <c r="J55" s="21" t="s">
        <v>11</v>
      </c>
      <c r="K55" s="21" t="s">
        <v>117</v>
      </c>
      <c r="L55" s="21" t="s">
        <v>11</v>
      </c>
      <c r="M55" s="21" t="s">
        <v>17</v>
      </c>
      <c r="N55" s="21" t="s">
        <v>21</v>
      </c>
      <c r="O55" s="21" t="s">
        <v>21</v>
      </c>
      <c r="P55" s="21" t="s">
        <v>22</v>
      </c>
      <c r="Q55" s="21" t="s">
        <v>11</v>
      </c>
      <c r="R55" s="129"/>
      <c r="S55" s="126"/>
      <c r="T55" s="24">
        <f>7618.7+262.6-9.9</f>
        <v>7871.4000000000005</v>
      </c>
      <c r="U55" s="114"/>
      <c r="V55" s="114"/>
      <c r="W55" s="50"/>
      <c r="X55" s="50"/>
      <c r="Y55" s="25"/>
      <c r="Z55" s="25">
        <f t="shared" si="9"/>
        <v>7871.4000000000005</v>
      </c>
      <c r="AA55" s="23">
        <v>2021</v>
      </c>
      <c r="AB55" s="74"/>
      <c r="AC55" s="64"/>
      <c r="AD55" s="65"/>
      <c r="AE55" s="66"/>
    </row>
    <row r="56" spans="1:31" s="16" customFormat="1" ht="30" x14ac:dyDescent="0.25">
      <c r="A56" s="13"/>
      <c r="B56" s="13"/>
      <c r="C56" s="13"/>
      <c r="D56" s="13"/>
      <c r="E56" s="13"/>
      <c r="F56" s="13"/>
      <c r="G56" s="13"/>
      <c r="H56" s="13"/>
      <c r="I56" s="14"/>
      <c r="J56" s="13"/>
      <c r="K56" s="13"/>
      <c r="L56" s="13"/>
      <c r="M56" s="13"/>
      <c r="N56" s="13"/>
      <c r="O56" s="13"/>
      <c r="P56" s="13"/>
      <c r="Q56" s="13"/>
      <c r="R56" s="7" t="s">
        <v>109</v>
      </c>
      <c r="S56" s="6" t="s">
        <v>1</v>
      </c>
      <c r="T56" s="5">
        <v>100</v>
      </c>
      <c r="U56" s="112"/>
      <c r="V56" s="110"/>
      <c r="W56" s="5"/>
      <c r="X56" s="5"/>
      <c r="Y56" s="5"/>
      <c r="Z56" s="3">
        <f t="shared" si="9"/>
        <v>100</v>
      </c>
      <c r="AA56" s="8">
        <v>2021</v>
      </c>
      <c r="AB56" s="74"/>
      <c r="AC56" s="64"/>
      <c r="AD56" s="65"/>
      <c r="AE56" s="66"/>
    </row>
    <row r="57" spans="1:31" s="16" customFormat="1" ht="44.25" x14ac:dyDescent="0.25">
      <c r="A57" s="21" t="s">
        <v>10</v>
      </c>
      <c r="B57" s="21" t="s">
        <v>11</v>
      </c>
      <c r="C57" s="21" t="s">
        <v>12</v>
      </c>
      <c r="D57" s="21" t="s">
        <v>10</v>
      </c>
      <c r="E57" s="21" t="s">
        <v>20</v>
      </c>
      <c r="F57" s="21" t="s">
        <v>10</v>
      </c>
      <c r="G57" s="21" t="s">
        <v>19</v>
      </c>
      <c r="H57" s="21" t="s">
        <v>10</v>
      </c>
      <c r="I57" s="21" t="s">
        <v>18</v>
      </c>
      <c r="J57" s="21" t="s">
        <v>11</v>
      </c>
      <c r="K57" s="21" t="s">
        <v>10</v>
      </c>
      <c r="L57" s="21" t="s">
        <v>11</v>
      </c>
      <c r="M57" s="21" t="s">
        <v>10</v>
      </c>
      <c r="N57" s="21" t="s">
        <v>10</v>
      </c>
      <c r="O57" s="21" t="s">
        <v>10</v>
      </c>
      <c r="P57" s="21" t="s">
        <v>21</v>
      </c>
      <c r="Q57" s="21" t="s">
        <v>18</v>
      </c>
      <c r="R57" s="45" t="s">
        <v>181</v>
      </c>
      <c r="S57" s="23" t="s">
        <v>33</v>
      </c>
      <c r="T57" s="25">
        <v>898.2</v>
      </c>
      <c r="U57" s="114"/>
      <c r="V57" s="114"/>
      <c r="W57" s="50"/>
      <c r="X57" s="50"/>
      <c r="Y57" s="25"/>
      <c r="Z57" s="25">
        <f t="shared" si="9"/>
        <v>898.2</v>
      </c>
      <c r="AA57" s="23">
        <v>2021</v>
      </c>
      <c r="AB57" s="74"/>
      <c r="AC57" s="64"/>
      <c r="AD57" s="65"/>
      <c r="AE57" s="66"/>
    </row>
    <row r="58" spans="1:31" s="16" customFormat="1" ht="29.25" x14ac:dyDescent="0.25">
      <c r="A58" s="13"/>
      <c r="B58" s="13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3"/>
      <c r="O58" s="13"/>
      <c r="P58" s="13"/>
      <c r="Q58" s="13"/>
      <c r="R58" s="12" t="s">
        <v>105</v>
      </c>
      <c r="S58" s="6" t="s">
        <v>2</v>
      </c>
      <c r="T58" s="61">
        <v>0.91400000000000003</v>
      </c>
      <c r="U58" s="113"/>
      <c r="V58" s="113"/>
      <c r="W58" s="61"/>
      <c r="X58" s="61"/>
      <c r="Y58" s="61"/>
      <c r="Z58" s="62">
        <f t="shared" si="9"/>
        <v>0.91400000000000003</v>
      </c>
      <c r="AA58" s="6">
        <v>2021</v>
      </c>
      <c r="AB58" s="74"/>
      <c r="AC58" s="64"/>
      <c r="AD58" s="65"/>
      <c r="AE58" s="66"/>
    </row>
    <row r="59" spans="1:31" s="16" customFormat="1" ht="44.25" x14ac:dyDescent="0.25">
      <c r="A59" s="21" t="s">
        <v>10</v>
      </c>
      <c r="B59" s="21" t="s">
        <v>11</v>
      </c>
      <c r="C59" s="21" t="s">
        <v>12</v>
      </c>
      <c r="D59" s="21" t="s">
        <v>10</v>
      </c>
      <c r="E59" s="21" t="s">
        <v>20</v>
      </c>
      <c r="F59" s="21" t="s">
        <v>10</v>
      </c>
      <c r="G59" s="21" t="s">
        <v>19</v>
      </c>
      <c r="H59" s="21" t="s">
        <v>10</v>
      </c>
      <c r="I59" s="21" t="s">
        <v>18</v>
      </c>
      <c r="J59" s="21" t="s">
        <v>11</v>
      </c>
      <c r="K59" s="21" t="s">
        <v>10</v>
      </c>
      <c r="L59" s="21" t="s">
        <v>11</v>
      </c>
      <c r="M59" s="21" t="s">
        <v>10</v>
      </c>
      <c r="N59" s="21" t="s">
        <v>10</v>
      </c>
      <c r="O59" s="21" t="s">
        <v>10</v>
      </c>
      <c r="P59" s="21" t="s">
        <v>21</v>
      </c>
      <c r="Q59" s="21" t="s">
        <v>19</v>
      </c>
      <c r="R59" s="45" t="s">
        <v>182</v>
      </c>
      <c r="S59" s="23" t="s">
        <v>33</v>
      </c>
      <c r="T59" s="25">
        <v>2193.3000000000002</v>
      </c>
      <c r="U59" s="114"/>
      <c r="V59" s="114"/>
      <c r="W59" s="50"/>
      <c r="X59" s="50"/>
      <c r="Y59" s="25"/>
      <c r="Z59" s="25">
        <f t="shared" si="9"/>
        <v>2193.3000000000002</v>
      </c>
      <c r="AA59" s="23">
        <v>2021</v>
      </c>
      <c r="AB59" s="74"/>
      <c r="AC59" s="64"/>
      <c r="AD59" s="65"/>
      <c r="AE59" s="66"/>
    </row>
    <row r="60" spans="1:31" s="16" customFormat="1" ht="29.25" x14ac:dyDescent="0.25">
      <c r="A60" s="13"/>
      <c r="B60" s="13"/>
      <c r="C60" s="13"/>
      <c r="D60" s="13"/>
      <c r="E60" s="13"/>
      <c r="F60" s="13"/>
      <c r="G60" s="13"/>
      <c r="H60" s="13"/>
      <c r="I60" s="14"/>
      <c r="J60" s="13"/>
      <c r="K60" s="13"/>
      <c r="L60" s="13"/>
      <c r="M60" s="13"/>
      <c r="N60" s="13"/>
      <c r="O60" s="13"/>
      <c r="P60" s="13"/>
      <c r="Q60" s="13"/>
      <c r="R60" s="12" t="s">
        <v>105</v>
      </c>
      <c r="S60" s="6" t="s">
        <v>2</v>
      </c>
      <c r="T60" s="61">
        <v>0.29799999999999999</v>
      </c>
      <c r="U60" s="113"/>
      <c r="V60" s="113"/>
      <c r="W60" s="61"/>
      <c r="X60" s="61"/>
      <c r="Y60" s="61"/>
      <c r="Z60" s="62">
        <f t="shared" si="9"/>
        <v>0.29799999999999999</v>
      </c>
      <c r="AA60" s="6">
        <v>2021</v>
      </c>
      <c r="AB60" s="74"/>
      <c r="AC60" s="64"/>
      <c r="AD60" s="65"/>
      <c r="AE60" s="66"/>
    </row>
    <row r="61" spans="1:31" s="16" customFormat="1" ht="44.25" x14ac:dyDescent="0.25">
      <c r="A61" s="21" t="s">
        <v>10</v>
      </c>
      <c r="B61" s="21" t="s">
        <v>11</v>
      </c>
      <c r="C61" s="21" t="s">
        <v>12</v>
      </c>
      <c r="D61" s="21" t="s">
        <v>10</v>
      </c>
      <c r="E61" s="21" t="s">
        <v>20</v>
      </c>
      <c r="F61" s="21" t="s">
        <v>10</v>
      </c>
      <c r="G61" s="21" t="s">
        <v>19</v>
      </c>
      <c r="H61" s="21" t="s">
        <v>10</v>
      </c>
      <c r="I61" s="21" t="s">
        <v>18</v>
      </c>
      <c r="J61" s="21" t="s">
        <v>11</v>
      </c>
      <c r="K61" s="21" t="s">
        <v>10</v>
      </c>
      <c r="L61" s="21" t="s">
        <v>11</v>
      </c>
      <c r="M61" s="21" t="s">
        <v>10</v>
      </c>
      <c r="N61" s="21" t="s">
        <v>10</v>
      </c>
      <c r="O61" s="21" t="s">
        <v>10</v>
      </c>
      <c r="P61" s="21" t="s">
        <v>20</v>
      </c>
      <c r="Q61" s="21" t="s">
        <v>10</v>
      </c>
      <c r="R61" s="45" t="s">
        <v>183</v>
      </c>
      <c r="S61" s="23" t="s">
        <v>33</v>
      </c>
      <c r="T61" s="25">
        <v>2479.6</v>
      </c>
      <c r="U61" s="114"/>
      <c r="V61" s="114"/>
      <c r="W61" s="50"/>
      <c r="X61" s="50"/>
      <c r="Y61" s="25"/>
      <c r="Z61" s="25">
        <f t="shared" si="9"/>
        <v>2479.6</v>
      </c>
      <c r="AA61" s="23">
        <v>2021</v>
      </c>
      <c r="AB61" s="74"/>
      <c r="AC61" s="64"/>
      <c r="AD61" s="65"/>
      <c r="AE61" s="66"/>
    </row>
    <row r="62" spans="1:31" s="16" customFormat="1" ht="29.25" x14ac:dyDescent="0.25">
      <c r="A62" s="13"/>
      <c r="B62" s="13"/>
      <c r="C62" s="13"/>
      <c r="D62" s="13"/>
      <c r="E62" s="13"/>
      <c r="F62" s="13"/>
      <c r="G62" s="13"/>
      <c r="H62" s="13"/>
      <c r="I62" s="14"/>
      <c r="J62" s="13"/>
      <c r="K62" s="13"/>
      <c r="L62" s="13"/>
      <c r="M62" s="13"/>
      <c r="N62" s="13"/>
      <c r="O62" s="13"/>
      <c r="P62" s="13"/>
      <c r="Q62" s="13"/>
      <c r="R62" s="12" t="s">
        <v>105</v>
      </c>
      <c r="S62" s="6" t="s">
        <v>2</v>
      </c>
      <c r="T62" s="61">
        <v>0.29499999999999998</v>
      </c>
      <c r="U62" s="113"/>
      <c r="V62" s="113"/>
      <c r="W62" s="61"/>
      <c r="X62" s="61"/>
      <c r="Y62" s="61"/>
      <c r="Z62" s="62">
        <f t="shared" si="9"/>
        <v>0.29499999999999998</v>
      </c>
      <c r="AA62" s="6">
        <v>2021</v>
      </c>
      <c r="AB62" s="74"/>
      <c r="AC62" s="64"/>
      <c r="AD62" s="65"/>
      <c r="AE62" s="66"/>
    </row>
    <row r="63" spans="1:31" s="16" customFormat="1" ht="44.25" x14ac:dyDescent="0.25">
      <c r="A63" s="21" t="s">
        <v>10</v>
      </c>
      <c r="B63" s="21" t="s">
        <v>11</v>
      </c>
      <c r="C63" s="21" t="s">
        <v>12</v>
      </c>
      <c r="D63" s="21" t="s">
        <v>10</v>
      </c>
      <c r="E63" s="21" t="s">
        <v>20</v>
      </c>
      <c r="F63" s="21" t="s">
        <v>10</v>
      </c>
      <c r="G63" s="21" t="s">
        <v>19</v>
      </c>
      <c r="H63" s="21" t="s">
        <v>10</v>
      </c>
      <c r="I63" s="21" t="s">
        <v>18</v>
      </c>
      <c r="J63" s="21" t="s">
        <v>11</v>
      </c>
      <c r="K63" s="21" t="s">
        <v>10</v>
      </c>
      <c r="L63" s="21" t="s">
        <v>11</v>
      </c>
      <c r="M63" s="21" t="s">
        <v>10</v>
      </c>
      <c r="N63" s="21" t="s">
        <v>10</v>
      </c>
      <c r="O63" s="21" t="s">
        <v>10</v>
      </c>
      <c r="P63" s="21" t="s">
        <v>20</v>
      </c>
      <c r="Q63" s="21" t="s">
        <v>11</v>
      </c>
      <c r="R63" s="45" t="s">
        <v>184</v>
      </c>
      <c r="S63" s="23" t="s">
        <v>33</v>
      </c>
      <c r="T63" s="25">
        <v>1650.9</v>
      </c>
      <c r="U63" s="114"/>
      <c r="V63" s="114"/>
      <c r="W63" s="50"/>
      <c r="X63" s="50"/>
      <c r="Y63" s="25"/>
      <c r="Z63" s="25">
        <f t="shared" si="9"/>
        <v>1650.9</v>
      </c>
      <c r="AA63" s="23">
        <v>2021</v>
      </c>
      <c r="AB63" s="74"/>
      <c r="AC63" s="64"/>
      <c r="AD63" s="65"/>
      <c r="AE63" s="66"/>
    </row>
    <row r="64" spans="1:31" s="16" customFormat="1" ht="29.25" x14ac:dyDescent="0.25">
      <c r="A64" s="13"/>
      <c r="B64" s="13"/>
      <c r="C64" s="13"/>
      <c r="D64" s="13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3"/>
      <c r="P64" s="13"/>
      <c r="Q64" s="13"/>
      <c r="R64" s="12" t="s">
        <v>105</v>
      </c>
      <c r="S64" s="6" t="s">
        <v>2</v>
      </c>
      <c r="T64" s="61">
        <v>0.23799999999999999</v>
      </c>
      <c r="U64" s="113"/>
      <c r="V64" s="113"/>
      <c r="W64" s="61"/>
      <c r="X64" s="61"/>
      <c r="Y64" s="61"/>
      <c r="Z64" s="62">
        <f t="shared" si="9"/>
        <v>0.23799999999999999</v>
      </c>
      <c r="AA64" s="6">
        <v>2021</v>
      </c>
      <c r="AB64" s="74"/>
      <c r="AC64" s="64"/>
      <c r="AD64" s="65"/>
      <c r="AE64" s="66"/>
    </row>
    <row r="65" spans="1:32" s="20" customFormat="1" ht="42.75" x14ac:dyDescent="0.25">
      <c r="A65" s="39"/>
      <c r="B65" s="39"/>
      <c r="C65" s="39"/>
      <c r="D65" s="39" t="s">
        <v>10</v>
      </c>
      <c r="E65" s="39" t="s">
        <v>20</v>
      </c>
      <c r="F65" s="39" t="s">
        <v>10</v>
      </c>
      <c r="G65" s="39" t="s">
        <v>19</v>
      </c>
      <c r="H65" s="39" t="s">
        <v>10</v>
      </c>
      <c r="I65" s="39" t="s">
        <v>18</v>
      </c>
      <c r="J65" s="39" t="s">
        <v>11</v>
      </c>
      <c r="K65" s="39" t="s">
        <v>10</v>
      </c>
      <c r="L65" s="39" t="s">
        <v>12</v>
      </c>
      <c r="M65" s="39" t="s">
        <v>10</v>
      </c>
      <c r="N65" s="39" t="s">
        <v>10</v>
      </c>
      <c r="O65" s="39" t="s">
        <v>10</v>
      </c>
      <c r="P65" s="39" t="s">
        <v>10</v>
      </c>
      <c r="Q65" s="39" t="s">
        <v>10</v>
      </c>
      <c r="R65" s="40" t="s">
        <v>24</v>
      </c>
      <c r="S65" s="41" t="s">
        <v>33</v>
      </c>
      <c r="T65" s="42">
        <f>T69+T75+T80+T84+T86+T90+T94+T98+T102+T106+T110+T146+T114+T119+T123+T128+T132+T136+T141</f>
        <v>1555404.5999999996</v>
      </c>
      <c r="U65" s="42">
        <f>U69+U75+U80+U84+U86+U90+U94+U98+U102+U106+U110+U146+U114+U119+U123+U128+U132+U136+U141+U150+U154+U158+U162+U166+U170</f>
        <v>990213.00000000023</v>
      </c>
      <c r="V65" s="42">
        <f>V69+V75+V80+V84+V174+V176+V178+V180+V182+V184</f>
        <v>893982.79999999981</v>
      </c>
      <c r="W65" s="42">
        <f>W69+W75+W80+W84+W86+W90+W94+W98+W102+W106+W110+W146+W114+W119+W123+W128+W132+W136+W141</f>
        <v>852659.6</v>
      </c>
      <c r="X65" s="42">
        <f>X69+X75+X80+X84+X86+X90+X94+X98+X102+X106+X110+X146+X114+X119+X123+X128+X132+X136+X141</f>
        <v>858876</v>
      </c>
      <c r="Y65" s="42">
        <f>Y69+Y75+Y80+Y84+Y86+Y90+Y94+Y98+Y102+Y106+Y110+Y146+Y114+Y119+Y123+Y128+Y132+Y136+Y141</f>
        <v>19671.2</v>
      </c>
      <c r="Z65" s="42">
        <f>Z69+Z75+Z80+Z84+Z86+Z90+Z94+Z98+Z102+Z106+Z110+Z114+Z119+Z123+Z128+Z132+Z136+Z141+Z146+Z150+Z154+Z158+Z162+Z166+Z170+Z174+Z176+Z178+Z180+Z182+Z184</f>
        <v>5170807.2000000011</v>
      </c>
      <c r="AA65" s="41">
        <v>2026</v>
      </c>
      <c r="AB65" s="87"/>
      <c r="AC65" s="15"/>
      <c r="AD65" s="15"/>
      <c r="AE65" s="16"/>
      <c r="AF65" s="16"/>
    </row>
    <row r="66" spans="1:32" s="2" customFormat="1" ht="44.25" x14ac:dyDescent="0.25">
      <c r="A66" s="13"/>
      <c r="B66" s="13"/>
      <c r="C66" s="13"/>
      <c r="D66" s="13"/>
      <c r="E66" s="13"/>
      <c r="F66" s="13"/>
      <c r="G66" s="13"/>
      <c r="H66" s="13"/>
      <c r="I66" s="14"/>
      <c r="J66" s="13"/>
      <c r="K66" s="13"/>
      <c r="L66" s="13"/>
      <c r="M66" s="13"/>
      <c r="N66" s="13"/>
      <c r="O66" s="13"/>
      <c r="P66" s="13"/>
      <c r="Q66" s="13"/>
      <c r="R66" s="12" t="s">
        <v>58</v>
      </c>
      <c r="S66" s="6" t="s">
        <v>34</v>
      </c>
      <c r="T66" s="5"/>
      <c r="U66" s="110"/>
      <c r="V66" s="5"/>
      <c r="W66" s="5">
        <f>W71</f>
        <v>0.2</v>
      </c>
      <c r="X66" s="5"/>
      <c r="Y66" s="5">
        <f>Y71</f>
        <v>0.2</v>
      </c>
      <c r="Z66" s="3">
        <f>T66+U66+V66+W66+X66+Y66</f>
        <v>0.4</v>
      </c>
      <c r="AA66" s="6">
        <v>2026</v>
      </c>
      <c r="AB66" s="76"/>
      <c r="AC66" s="15"/>
      <c r="AD66" s="15"/>
      <c r="AE66" s="16"/>
      <c r="AF66" s="16"/>
    </row>
    <row r="67" spans="1:32" s="2" customFormat="1" ht="30" x14ac:dyDescent="0.25">
      <c r="A67" s="13"/>
      <c r="B67" s="13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  <c r="Q67" s="13"/>
      <c r="R67" s="12" t="s">
        <v>59</v>
      </c>
      <c r="S67" s="6" t="s">
        <v>34</v>
      </c>
      <c r="T67" s="5">
        <f>T101+T105+T109+T118+T127+T131+T135+T140+T145</f>
        <v>13.38</v>
      </c>
      <c r="U67" s="5">
        <f>U72+U76+U149+U153+U157+U161+U165+U169</f>
        <v>15.555999999999999</v>
      </c>
      <c r="V67" s="5">
        <f>V72+V76+V175+V177+V179+V181+V183</f>
        <v>18.693000000000001</v>
      </c>
      <c r="W67" s="5">
        <f>W76</f>
        <v>2.5</v>
      </c>
      <c r="X67" s="5">
        <f>X72+X76+X89</f>
        <v>10.3</v>
      </c>
      <c r="Y67" s="5"/>
      <c r="Z67" s="3">
        <f>T67+U67+V67+W67+X67+Y67</f>
        <v>60.429000000000002</v>
      </c>
      <c r="AA67" s="6">
        <v>2025</v>
      </c>
      <c r="AB67" s="76"/>
      <c r="AC67" s="15"/>
      <c r="AD67" s="15"/>
      <c r="AE67" s="16"/>
      <c r="AF67" s="16"/>
    </row>
    <row r="68" spans="1:32" s="2" customFormat="1" ht="45" x14ac:dyDescent="0.25">
      <c r="A68" s="13"/>
      <c r="B68" s="13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7" t="s">
        <v>92</v>
      </c>
      <c r="S68" s="6" t="s">
        <v>2</v>
      </c>
      <c r="T68" s="61">
        <f>T83+T93+T97+T122+T126+T139+T144+T117</f>
        <v>69.394800000000004</v>
      </c>
      <c r="U68" s="61">
        <f>U73+U83</f>
        <v>53.3</v>
      </c>
      <c r="V68" s="61">
        <f>V83+V73</f>
        <v>13.765000000000001</v>
      </c>
      <c r="W68" s="61">
        <f>W83</f>
        <v>20</v>
      </c>
      <c r="X68" s="61">
        <f>X83</f>
        <v>20</v>
      </c>
      <c r="Y68" s="61">
        <f>Y83</f>
        <v>12</v>
      </c>
      <c r="Z68" s="62">
        <f>Z73+Z83+Z93+Z97+Z117+Z122+Z126+Z139+Z144</f>
        <v>188.45979999999994</v>
      </c>
      <c r="AA68" s="6">
        <v>2026</v>
      </c>
      <c r="AB68" s="85"/>
      <c r="AC68" s="15"/>
      <c r="AD68" s="15"/>
      <c r="AE68" s="16"/>
      <c r="AF68" s="16"/>
    </row>
    <row r="69" spans="1:32" ht="39.6" customHeight="1" x14ac:dyDescent="0.25">
      <c r="A69" s="21" t="s">
        <v>10</v>
      </c>
      <c r="B69" s="21" t="s">
        <v>11</v>
      </c>
      <c r="C69" s="21" t="s">
        <v>12</v>
      </c>
      <c r="D69" s="21" t="s">
        <v>10</v>
      </c>
      <c r="E69" s="21" t="s">
        <v>20</v>
      </c>
      <c r="F69" s="21" t="s">
        <v>10</v>
      </c>
      <c r="G69" s="21" t="s">
        <v>19</v>
      </c>
      <c r="H69" s="21" t="s">
        <v>10</v>
      </c>
      <c r="I69" s="21" t="s">
        <v>18</v>
      </c>
      <c r="J69" s="21" t="s">
        <v>11</v>
      </c>
      <c r="K69" s="21" t="s">
        <v>10</v>
      </c>
      <c r="L69" s="21" t="s">
        <v>12</v>
      </c>
      <c r="M69" s="21" t="s">
        <v>19</v>
      </c>
      <c r="N69" s="21" t="s">
        <v>19</v>
      </c>
      <c r="O69" s="21" t="s">
        <v>19</v>
      </c>
      <c r="P69" s="21" t="s">
        <v>19</v>
      </c>
      <c r="Q69" s="21" t="s">
        <v>19</v>
      </c>
      <c r="R69" s="44" t="s">
        <v>60</v>
      </c>
      <c r="S69" s="23" t="s">
        <v>33</v>
      </c>
      <c r="T69" s="25">
        <f>39180+2042-39960.1-129.8</f>
        <v>1132.1000000000015</v>
      </c>
      <c r="U69" s="25">
        <f>20838.6-10338.6+19996-1192-13982.1</f>
        <v>15321.9</v>
      </c>
      <c r="V69" s="25">
        <v>5487.9</v>
      </c>
      <c r="W69" s="25">
        <v>5000</v>
      </c>
      <c r="X69" s="25">
        <v>5000</v>
      </c>
      <c r="Y69" s="25">
        <v>2958.3</v>
      </c>
      <c r="Z69" s="25">
        <f>T69+U69+V69+W69+X69+Y69</f>
        <v>34900.200000000004</v>
      </c>
      <c r="AA69" s="23">
        <v>2026</v>
      </c>
    </row>
    <row r="70" spans="1:32" ht="37.15" customHeight="1" x14ac:dyDescent="0.25">
      <c r="A70" s="13"/>
      <c r="B70" s="13"/>
      <c r="C70" s="13"/>
      <c r="D70" s="13"/>
      <c r="E70" s="13"/>
      <c r="F70" s="13"/>
      <c r="G70" s="13"/>
      <c r="H70" s="13"/>
      <c r="I70" s="14"/>
      <c r="J70" s="13"/>
      <c r="K70" s="13"/>
      <c r="L70" s="13"/>
      <c r="M70" s="13"/>
      <c r="N70" s="13"/>
      <c r="O70" s="13"/>
      <c r="P70" s="13"/>
      <c r="Q70" s="13"/>
      <c r="R70" s="12" t="s">
        <v>100</v>
      </c>
      <c r="S70" s="102" t="s">
        <v>30</v>
      </c>
      <c r="T70" s="9">
        <v>1</v>
      </c>
      <c r="U70" s="9">
        <v>2</v>
      </c>
      <c r="V70" s="9">
        <v>6</v>
      </c>
      <c r="W70" s="9"/>
      <c r="X70" s="9">
        <v>1</v>
      </c>
      <c r="Y70" s="9"/>
      <c r="Z70" s="4">
        <f>T70+U70+V70+W70+X70+Y70</f>
        <v>10</v>
      </c>
      <c r="AA70" s="6">
        <v>2025</v>
      </c>
    </row>
    <row r="71" spans="1:32" s="1" customFormat="1" ht="4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7" t="s">
        <v>112</v>
      </c>
      <c r="S71" s="6" t="s">
        <v>34</v>
      </c>
      <c r="T71" s="61"/>
      <c r="U71" s="110"/>
      <c r="V71" s="110"/>
      <c r="W71" s="5">
        <v>0.2</v>
      </c>
      <c r="X71" s="5"/>
      <c r="Y71" s="5">
        <v>0.2</v>
      </c>
      <c r="Z71" s="3">
        <f>T71+U71+V71+W71+X71+Y71</f>
        <v>0.4</v>
      </c>
      <c r="AA71" s="6">
        <v>2026</v>
      </c>
      <c r="AB71" s="78"/>
      <c r="AC71" s="17"/>
      <c r="AD71" s="17"/>
    </row>
    <row r="72" spans="1:32" ht="30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7" t="s">
        <v>111</v>
      </c>
      <c r="S72" s="6" t="s">
        <v>34</v>
      </c>
      <c r="T72" s="5"/>
      <c r="U72" s="110"/>
      <c r="V72" s="110"/>
      <c r="W72" s="5"/>
      <c r="X72" s="5">
        <v>0.3</v>
      </c>
      <c r="Y72" s="5"/>
      <c r="Z72" s="3">
        <f t="shared" ref="Z72:Z78" si="10">T72+U72+V72+W72+X72+Y72</f>
        <v>0.3</v>
      </c>
      <c r="AA72" s="6">
        <v>2025</v>
      </c>
    </row>
    <row r="73" spans="1:32" ht="27.6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7" t="s">
        <v>115</v>
      </c>
      <c r="S73" s="6" t="s">
        <v>2</v>
      </c>
      <c r="T73" s="5"/>
      <c r="U73" s="113"/>
      <c r="V73" s="61">
        <f>0.543+0.242</f>
        <v>0.78500000000000003</v>
      </c>
      <c r="W73" s="61"/>
      <c r="X73" s="61"/>
      <c r="Y73" s="61"/>
      <c r="Z73" s="62">
        <f>V73</f>
        <v>0.78500000000000003</v>
      </c>
      <c r="AA73" s="6">
        <v>2023</v>
      </c>
    </row>
    <row r="74" spans="1:32" s="16" customFormat="1" ht="29.25" x14ac:dyDescent="0.25">
      <c r="A74" s="13"/>
      <c r="B74" s="13"/>
      <c r="C74" s="13"/>
      <c r="D74" s="13"/>
      <c r="E74" s="13"/>
      <c r="F74" s="13"/>
      <c r="G74" s="13"/>
      <c r="H74" s="13"/>
      <c r="I74" s="14"/>
      <c r="J74" s="13"/>
      <c r="K74" s="13"/>
      <c r="L74" s="13"/>
      <c r="M74" s="13"/>
      <c r="N74" s="13"/>
      <c r="O74" s="13"/>
      <c r="P74" s="13"/>
      <c r="Q74" s="13"/>
      <c r="R74" s="12" t="s">
        <v>188</v>
      </c>
      <c r="S74" s="6" t="s">
        <v>1</v>
      </c>
      <c r="T74" s="5"/>
      <c r="U74" s="5">
        <v>51.4</v>
      </c>
      <c r="V74" s="5">
        <v>48.6</v>
      </c>
      <c r="W74" s="9"/>
      <c r="X74" s="9"/>
      <c r="Y74" s="9"/>
      <c r="Z74" s="3">
        <v>100</v>
      </c>
      <c r="AA74" s="8">
        <v>2023</v>
      </c>
      <c r="AB74" s="101"/>
      <c r="AC74" s="30"/>
      <c r="AD74" s="15"/>
    </row>
    <row r="75" spans="1:32" ht="38.450000000000003" customHeight="1" x14ac:dyDescent="0.25">
      <c r="A75" s="21" t="s">
        <v>10</v>
      </c>
      <c r="B75" s="21" t="s">
        <v>11</v>
      </c>
      <c r="C75" s="21" t="s">
        <v>12</v>
      </c>
      <c r="D75" s="21" t="s">
        <v>10</v>
      </c>
      <c r="E75" s="21" t="s">
        <v>20</v>
      </c>
      <c r="F75" s="21" t="s">
        <v>10</v>
      </c>
      <c r="G75" s="21" t="s">
        <v>19</v>
      </c>
      <c r="H75" s="21" t="s">
        <v>10</v>
      </c>
      <c r="I75" s="21" t="s">
        <v>18</v>
      </c>
      <c r="J75" s="21" t="s">
        <v>11</v>
      </c>
      <c r="K75" s="21" t="s">
        <v>10</v>
      </c>
      <c r="L75" s="21" t="s">
        <v>12</v>
      </c>
      <c r="M75" s="21" t="s">
        <v>19</v>
      </c>
      <c r="N75" s="21" t="s">
        <v>19</v>
      </c>
      <c r="O75" s="21" t="s">
        <v>19</v>
      </c>
      <c r="P75" s="21" t="s">
        <v>19</v>
      </c>
      <c r="Q75" s="21" t="s">
        <v>19</v>
      </c>
      <c r="R75" s="22" t="s">
        <v>56</v>
      </c>
      <c r="S75" s="23" t="s">
        <v>33</v>
      </c>
      <c r="T75" s="25">
        <f>770.4+150+7000+500-553-1203.8</f>
        <v>6663.5999999999995</v>
      </c>
      <c r="U75" s="25">
        <f>19629.9-7136.5-1000+4312.2-2322.6</f>
        <v>13483.000000000002</v>
      </c>
      <c r="V75" s="25">
        <f>22997.7-13259-2837.5</f>
        <v>6901.2000000000007</v>
      </c>
      <c r="W75" s="25">
        <f>39163.1-35000</f>
        <v>4163.0999999999985</v>
      </c>
      <c r="X75" s="25">
        <v>39163.1</v>
      </c>
      <c r="Y75" s="25"/>
      <c r="Z75" s="25">
        <f t="shared" si="10"/>
        <v>70374</v>
      </c>
      <c r="AA75" s="23">
        <v>2025</v>
      </c>
      <c r="AC75" s="43"/>
    </row>
    <row r="76" spans="1:32" ht="30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7" t="s">
        <v>57</v>
      </c>
      <c r="S76" s="6" t="s">
        <v>39</v>
      </c>
      <c r="T76" s="5"/>
      <c r="U76" s="61">
        <v>1.2829999999999999</v>
      </c>
      <c r="V76" s="61">
        <v>0.46899999999999997</v>
      </c>
      <c r="W76" s="5">
        <v>2.5</v>
      </c>
      <c r="X76" s="5">
        <v>10</v>
      </c>
      <c r="Y76" s="5"/>
      <c r="Z76" s="3">
        <f t="shared" si="10"/>
        <v>14.251999999999999</v>
      </c>
      <c r="AA76" s="6">
        <v>2025</v>
      </c>
    </row>
    <row r="77" spans="1:32" ht="27.6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7" t="s">
        <v>103</v>
      </c>
      <c r="S77" s="6" t="s">
        <v>1</v>
      </c>
      <c r="T77" s="5">
        <v>100</v>
      </c>
      <c r="U77" s="110"/>
      <c r="V77" s="5"/>
      <c r="W77" s="5"/>
      <c r="X77" s="5"/>
      <c r="Y77" s="5"/>
      <c r="Z77" s="3">
        <f t="shared" si="10"/>
        <v>100</v>
      </c>
      <c r="AA77" s="6">
        <v>2021</v>
      </c>
    </row>
    <row r="78" spans="1:32" s="1" customFormat="1" ht="30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7" t="s">
        <v>114</v>
      </c>
      <c r="S78" s="6" t="s">
        <v>15</v>
      </c>
      <c r="T78" s="5">
        <v>182.4</v>
      </c>
      <c r="U78" s="110"/>
      <c r="V78" s="5"/>
      <c r="W78" s="5"/>
      <c r="X78" s="5"/>
      <c r="Y78" s="5"/>
      <c r="Z78" s="3">
        <f t="shared" si="10"/>
        <v>182.4</v>
      </c>
      <c r="AA78" s="6">
        <v>2021</v>
      </c>
      <c r="AB78" s="73"/>
      <c r="AC78" s="17"/>
      <c r="AD78" s="17"/>
    </row>
    <row r="79" spans="1:32" ht="27.6" customHeight="1" x14ac:dyDescent="0.25">
      <c r="A79" s="13"/>
      <c r="B79" s="13"/>
      <c r="C79" s="13"/>
      <c r="D79" s="13"/>
      <c r="E79" s="13"/>
      <c r="F79" s="13"/>
      <c r="G79" s="13"/>
      <c r="H79" s="13"/>
      <c r="I79" s="14"/>
      <c r="J79" s="13"/>
      <c r="K79" s="13"/>
      <c r="L79" s="13"/>
      <c r="M79" s="13"/>
      <c r="N79" s="13"/>
      <c r="O79" s="13"/>
      <c r="P79" s="13"/>
      <c r="Q79" s="13"/>
      <c r="R79" s="12" t="s">
        <v>176</v>
      </c>
      <c r="S79" s="102" t="s">
        <v>30</v>
      </c>
      <c r="T79" s="9"/>
      <c r="U79" s="112"/>
      <c r="V79" s="9">
        <v>3</v>
      </c>
      <c r="W79" s="9"/>
      <c r="X79" s="9"/>
      <c r="Y79" s="9"/>
      <c r="Z79" s="4">
        <f>T79+U79+V79+W79+X79+Y79</f>
        <v>3</v>
      </c>
      <c r="AA79" s="6">
        <v>2023</v>
      </c>
    </row>
    <row r="80" spans="1:32" ht="22.15" customHeight="1" x14ac:dyDescent="0.25">
      <c r="A80" s="21" t="s">
        <v>10</v>
      </c>
      <c r="B80" s="21" t="s">
        <v>11</v>
      </c>
      <c r="C80" s="21" t="s">
        <v>12</v>
      </c>
      <c r="D80" s="21" t="s">
        <v>10</v>
      </c>
      <c r="E80" s="21" t="s">
        <v>20</v>
      </c>
      <c r="F80" s="21" t="s">
        <v>10</v>
      </c>
      <c r="G80" s="21" t="s">
        <v>19</v>
      </c>
      <c r="H80" s="21" t="s">
        <v>10</v>
      </c>
      <c r="I80" s="21" t="s">
        <v>18</v>
      </c>
      <c r="J80" s="21" t="s">
        <v>11</v>
      </c>
      <c r="K80" s="21" t="s">
        <v>10</v>
      </c>
      <c r="L80" s="21" t="s">
        <v>10</v>
      </c>
      <c r="M80" s="21" t="s">
        <v>10</v>
      </c>
      <c r="N80" s="21" t="s">
        <v>10</v>
      </c>
      <c r="O80" s="21" t="s">
        <v>10</v>
      </c>
      <c r="P80" s="21" t="s">
        <v>10</v>
      </c>
      <c r="Q80" s="21" t="s">
        <v>10</v>
      </c>
      <c r="R80" s="121" t="s">
        <v>138</v>
      </c>
      <c r="S80" s="124" t="s">
        <v>33</v>
      </c>
      <c r="T80" s="25">
        <f>T81+T82</f>
        <v>1210441.0999999999</v>
      </c>
      <c r="U80" s="25">
        <f>U81+U82</f>
        <v>854921.1</v>
      </c>
      <c r="V80" s="25">
        <f>V81+V82</f>
        <v>862707</v>
      </c>
      <c r="W80" s="25">
        <f>W81+W82</f>
        <v>843496.5</v>
      </c>
      <c r="X80" s="25">
        <f>X81+X82</f>
        <v>814712.9</v>
      </c>
      <c r="Y80" s="25">
        <v>16712.900000000001</v>
      </c>
      <c r="Z80" s="25">
        <f>Z81+Z82</f>
        <v>4602991.5</v>
      </c>
      <c r="AA80" s="23">
        <v>2026</v>
      </c>
      <c r="AB80" s="103"/>
    </row>
    <row r="81" spans="1:32" ht="24.6" customHeight="1" x14ac:dyDescent="0.25">
      <c r="A81" s="21" t="s">
        <v>10</v>
      </c>
      <c r="B81" s="21" t="s">
        <v>11</v>
      </c>
      <c r="C81" s="21" t="s">
        <v>12</v>
      </c>
      <c r="D81" s="21" t="s">
        <v>10</v>
      </c>
      <c r="E81" s="21" t="s">
        <v>20</v>
      </c>
      <c r="F81" s="21" t="s">
        <v>10</v>
      </c>
      <c r="G81" s="21" t="s">
        <v>19</v>
      </c>
      <c r="H81" s="21" t="s">
        <v>10</v>
      </c>
      <c r="I81" s="21" t="s">
        <v>18</v>
      </c>
      <c r="J81" s="21" t="s">
        <v>11</v>
      </c>
      <c r="K81" s="21" t="s">
        <v>45</v>
      </c>
      <c r="L81" s="21" t="s">
        <v>11</v>
      </c>
      <c r="M81" s="21" t="s">
        <v>10</v>
      </c>
      <c r="N81" s="21" t="s">
        <v>10</v>
      </c>
      <c r="O81" s="21" t="s">
        <v>19</v>
      </c>
      <c r="P81" s="21" t="s">
        <v>21</v>
      </c>
      <c r="Q81" s="21" t="s">
        <v>12</v>
      </c>
      <c r="R81" s="122"/>
      <c r="S81" s="125"/>
      <c r="T81" s="24">
        <f>25805.5+12251.5-556.4-193-100-150-310-490-150-800+4439.1-798.2-8660.3-1635.5</f>
        <v>28652.7</v>
      </c>
      <c r="U81" s="24">
        <f>25805.5+1399.9-3200-6681.6-2402.7</f>
        <v>14921.100000000002</v>
      </c>
      <c r="V81" s="24">
        <f>25805.5-6029.9+2931.4</f>
        <v>22707</v>
      </c>
      <c r="W81" s="24">
        <f>16712.9-6216.4-7000</f>
        <v>3496.5000000000018</v>
      </c>
      <c r="X81" s="24">
        <v>16712.900000000001</v>
      </c>
      <c r="Y81" s="24">
        <v>16712.900000000001</v>
      </c>
      <c r="Z81" s="25">
        <f t="shared" ref="Z81:Z84" si="11">T81+U81+V81+W81+X81+Y81</f>
        <v>103203.1</v>
      </c>
      <c r="AA81" s="23">
        <v>2026</v>
      </c>
      <c r="AB81" s="78"/>
    </row>
    <row r="82" spans="1:32" s="1" customFormat="1" ht="22.9" customHeight="1" x14ac:dyDescent="0.25">
      <c r="A82" s="21" t="s">
        <v>10</v>
      </c>
      <c r="B82" s="21" t="s">
        <v>11</v>
      </c>
      <c r="C82" s="21" t="s">
        <v>12</v>
      </c>
      <c r="D82" s="21" t="s">
        <v>10</v>
      </c>
      <c r="E82" s="21" t="s">
        <v>20</v>
      </c>
      <c r="F82" s="21" t="s">
        <v>10</v>
      </c>
      <c r="G82" s="21" t="s">
        <v>19</v>
      </c>
      <c r="H82" s="21" t="s">
        <v>10</v>
      </c>
      <c r="I82" s="21" t="s">
        <v>18</v>
      </c>
      <c r="J82" s="21" t="s">
        <v>11</v>
      </c>
      <c r="K82" s="21" t="s">
        <v>45</v>
      </c>
      <c r="L82" s="21" t="s">
        <v>11</v>
      </c>
      <c r="M82" s="21" t="s">
        <v>17</v>
      </c>
      <c r="N82" s="21" t="s">
        <v>21</v>
      </c>
      <c r="O82" s="21" t="s">
        <v>19</v>
      </c>
      <c r="P82" s="21" t="s">
        <v>21</v>
      </c>
      <c r="Q82" s="21" t="s">
        <v>12</v>
      </c>
      <c r="R82" s="123"/>
      <c r="S82" s="126"/>
      <c r="T82" s="24">
        <f>(672000+17906+421560+11232.9)+57555.8+1533.7</f>
        <v>1181788.3999999999</v>
      </c>
      <c r="U82" s="24">
        <v>840000</v>
      </c>
      <c r="V82" s="24">
        <v>840000</v>
      </c>
      <c r="W82" s="24">
        <f>798000+42000</f>
        <v>840000</v>
      </c>
      <c r="X82" s="24">
        <v>798000</v>
      </c>
      <c r="Y82" s="24"/>
      <c r="Z82" s="25">
        <f t="shared" si="11"/>
        <v>4499788.4000000004</v>
      </c>
      <c r="AA82" s="23">
        <v>2025</v>
      </c>
      <c r="AB82" s="73"/>
      <c r="AC82" s="17"/>
      <c r="AD82" s="17"/>
    </row>
    <row r="83" spans="1:32" s="20" customFormat="1" ht="27.6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7" t="s">
        <v>61</v>
      </c>
      <c r="S83" s="6" t="s">
        <v>2</v>
      </c>
      <c r="T83" s="61">
        <v>62.131999999999998</v>
      </c>
      <c r="U83" s="61">
        <v>53.3</v>
      </c>
      <c r="V83" s="61">
        <v>12.98</v>
      </c>
      <c r="W83" s="61">
        <v>20</v>
      </c>
      <c r="X83" s="61">
        <v>20</v>
      </c>
      <c r="Y83" s="61">
        <v>12</v>
      </c>
      <c r="Z83" s="61">
        <f t="shared" si="11"/>
        <v>180.41199999999998</v>
      </c>
      <c r="AA83" s="6">
        <v>2026</v>
      </c>
      <c r="AB83" s="73"/>
      <c r="AC83" s="15"/>
      <c r="AD83" s="15"/>
      <c r="AE83" s="16"/>
      <c r="AF83" s="16"/>
    </row>
    <row r="84" spans="1:32" ht="102.6" customHeight="1" x14ac:dyDescent="0.25">
      <c r="A84" s="21" t="s">
        <v>10</v>
      </c>
      <c r="B84" s="21" t="s">
        <v>11</v>
      </c>
      <c r="C84" s="21" t="s">
        <v>12</v>
      </c>
      <c r="D84" s="21" t="s">
        <v>10</v>
      </c>
      <c r="E84" s="21" t="s">
        <v>20</v>
      </c>
      <c r="F84" s="21" t="s">
        <v>10</v>
      </c>
      <c r="G84" s="21" t="s">
        <v>19</v>
      </c>
      <c r="H84" s="21" t="s">
        <v>10</v>
      </c>
      <c r="I84" s="21" t="s">
        <v>18</v>
      </c>
      <c r="J84" s="21" t="s">
        <v>11</v>
      </c>
      <c r="K84" s="21" t="s">
        <v>10</v>
      </c>
      <c r="L84" s="21" t="s">
        <v>12</v>
      </c>
      <c r="M84" s="21" t="s">
        <v>10</v>
      </c>
      <c r="N84" s="21" t="s">
        <v>10</v>
      </c>
      <c r="O84" s="21" t="s">
        <v>18</v>
      </c>
      <c r="P84" s="21" t="s">
        <v>17</v>
      </c>
      <c r="Q84" s="21" t="s">
        <v>11</v>
      </c>
      <c r="R84" s="22" t="s">
        <v>110</v>
      </c>
      <c r="S84" s="23" t="s">
        <v>33</v>
      </c>
      <c r="T84" s="25">
        <f>360+120.4+3210+490+2354+310+291+150+672.9+100+67.3+100+109.7</f>
        <v>8335.2999999999993</v>
      </c>
      <c r="U84" s="25">
        <f>2842+722.5+2096.5-1005.3-1790.9</f>
        <v>2864.7999999999997</v>
      </c>
      <c r="V84" s="25">
        <f>2790.2+2837.5</f>
        <v>5627.7</v>
      </c>
      <c r="W84" s="25"/>
      <c r="X84" s="25"/>
      <c r="Y84" s="25"/>
      <c r="Z84" s="25">
        <f t="shared" si="11"/>
        <v>16827.8</v>
      </c>
      <c r="AA84" s="23">
        <v>2023</v>
      </c>
      <c r="AB84" s="98"/>
      <c r="AC84" s="43"/>
    </row>
    <row r="85" spans="1:32" s="1" customFormat="1" ht="35.450000000000003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7" t="s">
        <v>177</v>
      </c>
      <c r="S85" s="59" t="s">
        <v>1</v>
      </c>
      <c r="T85" s="5">
        <v>100</v>
      </c>
      <c r="U85" s="5">
        <v>100</v>
      </c>
      <c r="V85" s="5">
        <v>100</v>
      </c>
      <c r="W85" s="5"/>
      <c r="X85" s="5"/>
      <c r="Y85" s="5"/>
      <c r="Z85" s="3">
        <f>T85</f>
        <v>100</v>
      </c>
      <c r="AA85" s="6">
        <v>2022</v>
      </c>
      <c r="AB85" s="79"/>
      <c r="AC85" s="17"/>
      <c r="AD85" s="17"/>
    </row>
    <row r="86" spans="1:32" ht="27.6" customHeight="1" x14ac:dyDescent="0.25">
      <c r="A86" s="21" t="s">
        <v>10</v>
      </c>
      <c r="B86" s="21" t="s">
        <v>11</v>
      </c>
      <c r="C86" s="21" t="s">
        <v>12</v>
      </c>
      <c r="D86" s="21" t="s">
        <v>10</v>
      </c>
      <c r="E86" s="21" t="s">
        <v>20</v>
      </c>
      <c r="F86" s="21" t="s">
        <v>10</v>
      </c>
      <c r="G86" s="21" t="s">
        <v>19</v>
      </c>
      <c r="H86" s="21" t="s">
        <v>10</v>
      </c>
      <c r="I86" s="21" t="s">
        <v>18</v>
      </c>
      <c r="J86" s="21" t="s">
        <v>11</v>
      </c>
      <c r="K86" s="21" t="s">
        <v>10</v>
      </c>
      <c r="L86" s="21" t="s">
        <v>12</v>
      </c>
      <c r="M86" s="21" t="s">
        <v>10</v>
      </c>
      <c r="N86" s="21" t="s">
        <v>10</v>
      </c>
      <c r="O86" s="21" t="s">
        <v>10</v>
      </c>
      <c r="P86" s="21" t="s">
        <v>10</v>
      </c>
      <c r="Q86" s="21" t="s">
        <v>10</v>
      </c>
      <c r="R86" s="121" t="s">
        <v>106</v>
      </c>
      <c r="S86" s="124" t="s">
        <v>33</v>
      </c>
      <c r="T86" s="25">
        <f>T87+T88</f>
        <v>6045.3000000000011</v>
      </c>
      <c r="U86" s="60"/>
      <c r="V86" s="60"/>
      <c r="W86" s="25"/>
      <c r="X86" s="25"/>
      <c r="Y86" s="25"/>
      <c r="Z86" s="25">
        <f t="shared" ref="Z86:Z113" si="12">T86+U86+V86+W86+X86+Y86</f>
        <v>6045.3000000000011</v>
      </c>
      <c r="AA86" s="23">
        <v>2021</v>
      </c>
      <c r="AB86" s="79"/>
      <c r="AC86" s="43"/>
    </row>
    <row r="87" spans="1:32" ht="29.45" customHeight="1" x14ac:dyDescent="0.25">
      <c r="A87" s="21" t="s">
        <v>10</v>
      </c>
      <c r="B87" s="21" t="s">
        <v>11</v>
      </c>
      <c r="C87" s="21" t="s">
        <v>12</v>
      </c>
      <c r="D87" s="21" t="s">
        <v>10</v>
      </c>
      <c r="E87" s="21" t="s">
        <v>20</v>
      </c>
      <c r="F87" s="21" t="s">
        <v>10</v>
      </c>
      <c r="G87" s="21" t="s">
        <v>19</v>
      </c>
      <c r="H87" s="21" t="s">
        <v>10</v>
      </c>
      <c r="I87" s="21" t="s">
        <v>18</v>
      </c>
      <c r="J87" s="21" t="s">
        <v>11</v>
      </c>
      <c r="K87" s="21" t="s">
        <v>10</v>
      </c>
      <c r="L87" s="21" t="s">
        <v>12</v>
      </c>
      <c r="M87" s="21" t="s">
        <v>40</v>
      </c>
      <c r="N87" s="21" t="s">
        <v>10</v>
      </c>
      <c r="O87" s="21" t="s">
        <v>18</v>
      </c>
      <c r="P87" s="21" t="s">
        <v>17</v>
      </c>
      <c r="Q87" s="21" t="s">
        <v>11</v>
      </c>
      <c r="R87" s="122"/>
      <c r="S87" s="125"/>
      <c r="T87" s="24">
        <f>2287.7-1078.6</f>
        <v>1209.0999999999999</v>
      </c>
      <c r="U87" s="56"/>
      <c r="V87" s="56"/>
      <c r="W87" s="24"/>
      <c r="X87" s="24"/>
      <c r="Y87" s="24"/>
      <c r="Z87" s="25">
        <f t="shared" si="12"/>
        <v>1209.0999999999999</v>
      </c>
      <c r="AA87" s="23">
        <v>2021</v>
      </c>
      <c r="AB87" s="80"/>
    </row>
    <row r="88" spans="1:32" ht="28.9" customHeight="1" x14ac:dyDescent="0.25">
      <c r="A88" s="21" t="s">
        <v>10</v>
      </c>
      <c r="B88" s="21" t="s">
        <v>11</v>
      </c>
      <c r="C88" s="21" t="s">
        <v>12</v>
      </c>
      <c r="D88" s="21" t="s">
        <v>10</v>
      </c>
      <c r="E88" s="21" t="s">
        <v>20</v>
      </c>
      <c r="F88" s="21" t="s">
        <v>10</v>
      </c>
      <c r="G88" s="21" t="s">
        <v>19</v>
      </c>
      <c r="H88" s="21" t="s">
        <v>10</v>
      </c>
      <c r="I88" s="21" t="s">
        <v>18</v>
      </c>
      <c r="J88" s="21" t="s">
        <v>11</v>
      </c>
      <c r="K88" s="21" t="s">
        <v>10</v>
      </c>
      <c r="L88" s="21" t="s">
        <v>12</v>
      </c>
      <c r="M88" s="21" t="s">
        <v>11</v>
      </c>
      <c r="N88" s="21" t="s">
        <v>10</v>
      </c>
      <c r="O88" s="21" t="s">
        <v>18</v>
      </c>
      <c r="P88" s="21" t="s">
        <v>17</v>
      </c>
      <c r="Q88" s="21" t="s">
        <v>11</v>
      </c>
      <c r="R88" s="123"/>
      <c r="S88" s="126"/>
      <c r="T88" s="24">
        <f>9150.7-4314.5</f>
        <v>4836.2000000000007</v>
      </c>
      <c r="U88" s="56"/>
      <c r="V88" s="56"/>
      <c r="W88" s="24"/>
      <c r="X88" s="24"/>
      <c r="Y88" s="24"/>
      <c r="Z88" s="25">
        <f t="shared" si="12"/>
        <v>4836.2000000000007</v>
      </c>
      <c r="AA88" s="23">
        <v>2021</v>
      </c>
      <c r="AB88" s="80"/>
    </row>
    <row r="89" spans="1:32" ht="30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7" t="s">
        <v>107</v>
      </c>
      <c r="S89" s="6" t="s">
        <v>15</v>
      </c>
      <c r="T89" s="82">
        <v>14.76</v>
      </c>
      <c r="U89" s="110"/>
      <c r="V89" s="110"/>
      <c r="W89" s="5"/>
      <c r="X89" s="5"/>
      <c r="Y89" s="5"/>
      <c r="Z89" s="68">
        <f t="shared" si="12"/>
        <v>14.76</v>
      </c>
      <c r="AA89" s="6">
        <v>2021</v>
      </c>
      <c r="AB89" s="78"/>
    </row>
    <row r="90" spans="1:32" ht="27.6" customHeight="1" x14ac:dyDescent="0.25">
      <c r="A90" s="21" t="s">
        <v>10</v>
      </c>
      <c r="B90" s="21" t="s">
        <v>11</v>
      </c>
      <c r="C90" s="21" t="s">
        <v>12</v>
      </c>
      <c r="D90" s="21" t="s">
        <v>10</v>
      </c>
      <c r="E90" s="21" t="s">
        <v>20</v>
      </c>
      <c r="F90" s="21" t="s">
        <v>10</v>
      </c>
      <c r="G90" s="21" t="s">
        <v>19</v>
      </c>
      <c r="H90" s="21" t="s">
        <v>10</v>
      </c>
      <c r="I90" s="21" t="s">
        <v>18</v>
      </c>
      <c r="J90" s="21" t="s">
        <v>11</v>
      </c>
      <c r="K90" s="21" t="s">
        <v>10</v>
      </c>
      <c r="L90" s="21" t="s">
        <v>12</v>
      </c>
      <c r="M90" s="21" t="s">
        <v>10</v>
      </c>
      <c r="N90" s="21" t="s">
        <v>10</v>
      </c>
      <c r="O90" s="21" t="s">
        <v>10</v>
      </c>
      <c r="P90" s="21" t="s">
        <v>10</v>
      </c>
      <c r="Q90" s="21" t="s">
        <v>10</v>
      </c>
      <c r="R90" s="121" t="s">
        <v>119</v>
      </c>
      <c r="S90" s="124" t="s">
        <v>33</v>
      </c>
      <c r="T90" s="25">
        <f>T91+T92</f>
        <v>113538.2</v>
      </c>
      <c r="U90" s="60"/>
      <c r="V90" s="60"/>
      <c r="W90" s="25"/>
      <c r="X90" s="25"/>
      <c r="Y90" s="25"/>
      <c r="Z90" s="25">
        <f t="shared" si="12"/>
        <v>113538.2</v>
      </c>
      <c r="AA90" s="23">
        <v>2021</v>
      </c>
      <c r="AB90" s="79"/>
      <c r="AC90" s="43"/>
    </row>
    <row r="91" spans="1:32" ht="27.6" customHeight="1" x14ac:dyDescent="0.25">
      <c r="A91" s="21" t="s">
        <v>10</v>
      </c>
      <c r="B91" s="21" t="s">
        <v>11</v>
      </c>
      <c r="C91" s="21" t="s">
        <v>12</v>
      </c>
      <c r="D91" s="21" t="s">
        <v>10</v>
      </c>
      <c r="E91" s="21" t="s">
        <v>20</v>
      </c>
      <c r="F91" s="21" t="s">
        <v>10</v>
      </c>
      <c r="G91" s="21" t="s">
        <v>19</v>
      </c>
      <c r="H91" s="21" t="s">
        <v>10</v>
      </c>
      <c r="I91" s="21" t="s">
        <v>18</v>
      </c>
      <c r="J91" s="21" t="s">
        <v>11</v>
      </c>
      <c r="K91" s="21" t="s">
        <v>10</v>
      </c>
      <c r="L91" s="21" t="s">
        <v>12</v>
      </c>
      <c r="M91" s="21" t="s">
        <v>40</v>
      </c>
      <c r="N91" s="21" t="s">
        <v>10</v>
      </c>
      <c r="O91" s="21" t="s">
        <v>18</v>
      </c>
      <c r="P91" s="21" t="s">
        <v>17</v>
      </c>
      <c r="Q91" s="21" t="s">
        <v>11</v>
      </c>
      <c r="R91" s="122"/>
      <c r="S91" s="125"/>
      <c r="T91" s="24">
        <f>30000-7292.3</f>
        <v>22707.7</v>
      </c>
      <c r="U91" s="56"/>
      <c r="V91" s="56"/>
      <c r="W91" s="24"/>
      <c r="X91" s="24"/>
      <c r="Y91" s="24"/>
      <c r="Z91" s="25">
        <f t="shared" si="12"/>
        <v>22707.7</v>
      </c>
      <c r="AA91" s="23">
        <v>2021</v>
      </c>
      <c r="AB91" s="79"/>
    </row>
    <row r="92" spans="1:32" ht="27.6" customHeight="1" x14ac:dyDescent="0.25">
      <c r="A92" s="21" t="s">
        <v>10</v>
      </c>
      <c r="B92" s="21" t="s">
        <v>11</v>
      </c>
      <c r="C92" s="21" t="s">
        <v>12</v>
      </c>
      <c r="D92" s="21" t="s">
        <v>10</v>
      </c>
      <c r="E92" s="21" t="s">
        <v>20</v>
      </c>
      <c r="F92" s="21" t="s">
        <v>10</v>
      </c>
      <c r="G92" s="21" t="s">
        <v>19</v>
      </c>
      <c r="H92" s="21" t="s">
        <v>10</v>
      </c>
      <c r="I92" s="21" t="s">
        <v>18</v>
      </c>
      <c r="J92" s="21" t="s">
        <v>11</v>
      </c>
      <c r="K92" s="21" t="s">
        <v>10</v>
      </c>
      <c r="L92" s="21" t="s">
        <v>12</v>
      </c>
      <c r="M92" s="21" t="s">
        <v>11</v>
      </c>
      <c r="N92" s="21" t="s">
        <v>10</v>
      </c>
      <c r="O92" s="21" t="s">
        <v>18</v>
      </c>
      <c r="P92" s="21" t="s">
        <v>17</v>
      </c>
      <c r="Q92" s="21" t="s">
        <v>11</v>
      </c>
      <c r="R92" s="123"/>
      <c r="S92" s="126"/>
      <c r="T92" s="24">
        <f>120000-29169.5</f>
        <v>90830.5</v>
      </c>
      <c r="U92" s="56"/>
      <c r="V92" s="56"/>
      <c r="W92" s="24"/>
      <c r="X92" s="24"/>
      <c r="Y92" s="24"/>
      <c r="Z92" s="25">
        <f t="shared" si="12"/>
        <v>90830.5</v>
      </c>
      <c r="AA92" s="23">
        <v>2021</v>
      </c>
      <c r="AB92" s="79"/>
    </row>
    <row r="93" spans="1:32" ht="30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7" t="s">
        <v>108</v>
      </c>
      <c r="S93" s="6" t="s">
        <v>2</v>
      </c>
      <c r="T93" s="61">
        <v>3.79</v>
      </c>
      <c r="U93" s="113"/>
      <c r="V93" s="113"/>
      <c r="W93" s="61"/>
      <c r="X93" s="61"/>
      <c r="Y93" s="61"/>
      <c r="Z93" s="62">
        <f t="shared" si="12"/>
        <v>3.79</v>
      </c>
      <c r="AA93" s="6">
        <v>2021</v>
      </c>
      <c r="AB93" s="78"/>
    </row>
    <row r="94" spans="1:32" ht="27.6" customHeight="1" x14ac:dyDescent="0.25">
      <c r="A94" s="21" t="s">
        <v>10</v>
      </c>
      <c r="B94" s="21" t="s">
        <v>11</v>
      </c>
      <c r="C94" s="21" t="s">
        <v>12</v>
      </c>
      <c r="D94" s="21" t="s">
        <v>10</v>
      </c>
      <c r="E94" s="21" t="s">
        <v>20</v>
      </c>
      <c r="F94" s="21" t="s">
        <v>10</v>
      </c>
      <c r="G94" s="21" t="s">
        <v>19</v>
      </c>
      <c r="H94" s="21" t="s">
        <v>10</v>
      </c>
      <c r="I94" s="21" t="s">
        <v>18</v>
      </c>
      <c r="J94" s="21" t="s">
        <v>11</v>
      </c>
      <c r="K94" s="21" t="s">
        <v>10</v>
      </c>
      <c r="L94" s="21" t="s">
        <v>12</v>
      </c>
      <c r="M94" s="21" t="s">
        <v>10</v>
      </c>
      <c r="N94" s="21" t="s">
        <v>10</v>
      </c>
      <c r="O94" s="21" t="s">
        <v>10</v>
      </c>
      <c r="P94" s="21" t="s">
        <v>10</v>
      </c>
      <c r="Q94" s="21" t="s">
        <v>10</v>
      </c>
      <c r="R94" s="121" t="s">
        <v>124</v>
      </c>
      <c r="S94" s="124" t="s">
        <v>33</v>
      </c>
      <c r="T94" s="25">
        <f>T95+T96</f>
        <v>65282.5</v>
      </c>
      <c r="U94" s="60"/>
      <c r="V94" s="60"/>
      <c r="W94" s="25"/>
      <c r="X94" s="25"/>
      <c r="Y94" s="25"/>
      <c r="Z94" s="25">
        <f t="shared" si="12"/>
        <v>65282.5</v>
      </c>
      <c r="AA94" s="23">
        <v>2021</v>
      </c>
      <c r="AB94" s="79"/>
      <c r="AC94" s="43"/>
    </row>
    <row r="95" spans="1:32" ht="27.6" customHeight="1" x14ac:dyDescent="0.25">
      <c r="A95" s="21" t="s">
        <v>10</v>
      </c>
      <c r="B95" s="21" t="s">
        <v>11</v>
      </c>
      <c r="C95" s="21" t="s">
        <v>12</v>
      </c>
      <c r="D95" s="21" t="s">
        <v>10</v>
      </c>
      <c r="E95" s="21" t="s">
        <v>20</v>
      </c>
      <c r="F95" s="21" t="s">
        <v>10</v>
      </c>
      <c r="G95" s="21" t="s">
        <v>19</v>
      </c>
      <c r="H95" s="21" t="s">
        <v>10</v>
      </c>
      <c r="I95" s="21" t="s">
        <v>18</v>
      </c>
      <c r="J95" s="21" t="s">
        <v>11</v>
      </c>
      <c r="K95" s="21" t="s">
        <v>10</v>
      </c>
      <c r="L95" s="21" t="s">
        <v>12</v>
      </c>
      <c r="M95" s="21" t="s">
        <v>40</v>
      </c>
      <c r="N95" s="21" t="s">
        <v>10</v>
      </c>
      <c r="O95" s="21" t="s">
        <v>18</v>
      </c>
      <c r="P95" s="21" t="s">
        <v>17</v>
      </c>
      <c r="Q95" s="21" t="s">
        <v>11</v>
      </c>
      <c r="R95" s="122"/>
      <c r="S95" s="125"/>
      <c r="T95" s="24">
        <f>20771.8-12187.1-938.8</f>
        <v>7645.8999999999987</v>
      </c>
      <c r="U95" s="56"/>
      <c r="V95" s="56"/>
      <c r="W95" s="24"/>
      <c r="X95" s="24"/>
      <c r="Y95" s="24"/>
      <c r="Z95" s="25">
        <f t="shared" si="12"/>
        <v>7645.8999999999987</v>
      </c>
      <c r="AA95" s="23">
        <v>2021</v>
      </c>
      <c r="AB95" s="79"/>
    </row>
    <row r="96" spans="1:32" ht="27.6" customHeight="1" x14ac:dyDescent="0.25">
      <c r="A96" s="21" t="s">
        <v>10</v>
      </c>
      <c r="B96" s="21" t="s">
        <v>11</v>
      </c>
      <c r="C96" s="21" t="s">
        <v>12</v>
      </c>
      <c r="D96" s="21" t="s">
        <v>10</v>
      </c>
      <c r="E96" s="21" t="s">
        <v>20</v>
      </c>
      <c r="F96" s="21" t="s">
        <v>10</v>
      </c>
      <c r="G96" s="21" t="s">
        <v>19</v>
      </c>
      <c r="H96" s="21" t="s">
        <v>10</v>
      </c>
      <c r="I96" s="21" t="s">
        <v>18</v>
      </c>
      <c r="J96" s="21" t="s">
        <v>11</v>
      </c>
      <c r="K96" s="21" t="s">
        <v>10</v>
      </c>
      <c r="L96" s="21" t="s">
        <v>12</v>
      </c>
      <c r="M96" s="21" t="s">
        <v>11</v>
      </c>
      <c r="N96" s="21" t="s">
        <v>10</v>
      </c>
      <c r="O96" s="21" t="s">
        <v>18</v>
      </c>
      <c r="P96" s="21" t="s">
        <v>17</v>
      </c>
      <c r="Q96" s="21" t="s">
        <v>11</v>
      </c>
      <c r="R96" s="123"/>
      <c r="S96" s="126"/>
      <c r="T96" s="24">
        <f>83087-25450.4</f>
        <v>57636.6</v>
      </c>
      <c r="U96" s="56"/>
      <c r="V96" s="56"/>
      <c r="W96" s="24"/>
      <c r="X96" s="24"/>
      <c r="Y96" s="24"/>
      <c r="Z96" s="25">
        <f t="shared" si="12"/>
        <v>57636.6</v>
      </c>
      <c r="AA96" s="23">
        <v>2021</v>
      </c>
      <c r="AB96" s="79"/>
    </row>
    <row r="97" spans="1:29" ht="30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7" t="s">
        <v>108</v>
      </c>
      <c r="S97" s="6" t="s">
        <v>2</v>
      </c>
      <c r="T97" s="61">
        <v>1.6479999999999999</v>
      </c>
      <c r="U97" s="113"/>
      <c r="V97" s="113"/>
      <c r="W97" s="61"/>
      <c r="X97" s="61"/>
      <c r="Y97" s="61"/>
      <c r="Z97" s="62">
        <f t="shared" si="12"/>
        <v>1.6479999999999999</v>
      </c>
      <c r="AA97" s="6">
        <v>2021</v>
      </c>
      <c r="AB97" s="78"/>
    </row>
    <row r="98" spans="1:29" ht="27.6" customHeight="1" x14ac:dyDescent="0.25">
      <c r="A98" s="21" t="s">
        <v>10</v>
      </c>
      <c r="B98" s="21" t="s">
        <v>11</v>
      </c>
      <c r="C98" s="21" t="s">
        <v>12</v>
      </c>
      <c r="D98" s="21" t="s">
        <v>10</v>
      </c>
      <c r="E98" s="21" t="s">
        <v>20</v>
      </c>
      <c r="F98" s="21" t="s">
        <v>10</v>
      </c>
      <c r="G98" s="21" t="s">
        <v>19</v>
      </c>
      <c r="H98" s="21" t="s">
        <v>10</v>
      </c>
      <c r="I98" s="21" t="s">
        <v>18</v>
      </c>
      <c r="J98" s="21" t="s">
        <v>11</v>
      </c>
      <c r="K98" s="21" t="s">
        <v>10</v>
      </c>
      <c r="L98" s="21" t="s">
        <v>12</v>
      </c>
      <c r="M98" s="21" t="s">
        <v>10</v>
      </c>
      <c r="N98" s="21" t="s">
        <v>10</v>
      </c>
      <c r="O98" s="21" t="s">
        <v>10</v>
      </c>
      <c r="P98" s="21" t="s">
        <v>10</v>
      </c>
      <c r="Q98" s="21" t="s">
        <v>10</v>
      </c>
      <c r="R98" s="121" t="s">
        <v>120</v>
      </c>
      <c r="S98" s="124" t="s">
        <v>33</v>
      </c>
      <c r="T98" s="25">
        <f>T99+T100</f>
        <v>13410.3</v>
      </c>
      <c r="U98" s="60"/>
      <c r="V98" s="60"/>
      <c r="W98" s="25"/>
      <c r="X98" s="25"/>
      <c r="Y98" s="25"/>
      <c r="Z98" s="25">
        <f t="shared" si="12"/>
        <v>13410.3</v>
      </c>
      <c r="AA98" s="23">
        <v>2021</v>
      </c>
      <c r="AB98" s="79"/>
      <c r="AC98" s="43"/>
    </row>
    <row r="99" spans="1:29" ht="27.6" customHeight="1" x14ac:dyDescent="0.25">
      <c r="A99" s="21" t="s">
        <v>10</v>
      </c>
      <c r="B99" s="21" t="s">
        <v>11</v>
      </c>
      <c r="C99" s="21" t="s">
        <v>12</v>
      </c>
      <c r="D99" s="21" t="s">
        <v>10</v>
      </c>
      <c r="E99" s="21" t="s">
        <v>20</v>
      </c>
      <c r="F99" s="21" t="s">
        <v>10</v>
      </c>
      <c r="G99" s="21" t="s">
        <v>19</v>
      </c>
      <c r="H99" s="21" t="s">
        <v>10</v>
      </c>
      <c r="I99" s="21" t="s">
        <v>18</v>
      </c>
      <c r="J99" s="21" t="s">
        <v>11</v>
      </c>
      <c r="K99" s="21" t="s">
        <v>10</v>
      </c>
      <c r="L99" s="21" t="s">
        <v>12</v>
      </c>
      <c r="M99" s="21" t="s">
        <v>40</v>
      </c>
      <c r="N99" s="21" t="s">
        <v>10</v>
      </c>
      <c r="O99" s="21" t="s">
        <v>18</v>
      </c>
      <c r="P99" s="21" t="s">
        <v>17</v>
      </c>
      <c r="Q99" s="21" t="s">
        <v>11</v>
      </c>
      <c r="R99" s="122"/>
      <c r="S99" s="125"/>
      <c r="T99" s="24">
        <f>2720-189.7</f>
        <v>2530.3000000000002</v>
      </c>
      <c r="U99" s="56"/>
      <c r="V99" s="56"/>
      <c r="W99" s="24"/>
      <c r="X99" s="24"/>
      <c r="Y99" s="24"/>
      <c r="Z99" s="25">
        <f t="shared" si="12"/>
        <v>2530.3000000000002</v>
      </c>
      <c r="AA99" s="23">
        <v>2021</v>
      </c>
      <c r="AB99" s="79"/>
    </row>
    <row r="100" spans="1:29" ht="27.6" customHeight="1" x14ac:dyDescent="0.25">
      <c r="A100" s="21" t="s">
        <v>10</v>
      </c>
      <c r="B100" s="21" t="s">
        <v>11</v>
      </c>
      <c r="C100" s="21" t="s">
        <v>12</v>
      </c>
      <c r="D100" s="21" t="s">
        <v>10</v>
      </c>
      <c r="E100" s="21" t="s">
        <v>20</v>
      </c>
      <c r="F100" s="21" t="s">
        <v>10</v>
      </c>
      <c r="G100" s="21" t="s">
        <v>19</v>
      </c>
      <c r="H100" s="21" t="s">
        <v>10</v>
      </c>
      <c r="I100" s="21" t="s">
        <v>18</v>
      </c>
      <c r="J100" s="21" t="s">
        <v>11</v>
      </c>
      <c r="K100" s="21" t="s">
        <v>10</v>
      </c>
      <c r="L100" s="21" t="s">
        <v>12</v>
      </c>
      <c r="M100" s="21" t="s">
        <v>11</v>
      </c>
      <c r="N100" s="21" t="s">
        <v>10</v>
      </c>
      <c r="O100" s="21" t="s">
        <v>18</v>
      </c>
      <c r="P100" s="21" t="s">
        <v>17</v>
      </c>
      <c r="Q100" s="21" t="s">
        <v>11</v>
      </c>
      <c r="R100" s="123"/>
      <c r="S100" s="126"/>
      <c r="T100" s="24">
        <v>10880</v>
      </c>
      <c r="U100" s="56"/>
      <c r="V100" s="56"/>
      <c r="W100" s="24"/>
      <c r="X100" s="24"/>
      <c r="Y100" s="24"/>
      <c r="Z100" s="25">
        <f t="shared" si="12"/>
        <v>10880</v>
      </c>
      <c r="AA100" s="23">
        <v>2021</v>
      </c>
      <c r="AB100" s="79"/>
    </row>
    <row r="101" spans="1:29" ht="30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7" t="s">
        <v>57</v>
      </c>
      <c r="S101" s="6" t="s">
        <v>39</v>
      </c>
      <c r="T101" s="61">
        <v>1.9350000000000001</v>
      </c>
      <c r="U101" s="113"/>
      <c r="V101" s="113"/>
      <c r="W101" s="61"/>
      <c r="X101" s="61"/>
      <c r="Y101" s="61"/>
      <c r="Z101" s="62">
        <f t="shared" si="12"/>
        <v>1.9350000000000001</v>
      </c>
      <c r="AA101" s="6">
        <v>2021</v>
      </c>
      <c r="AB101" s="78"/>
    </row>
    <row r="102" spans="1:29" ht="27.6" customHeight="1" x14ac:dyDescent="0.25">
      <c r="A102" s="21" t="s">
        <v>10</v>
      </c>
      <c r="B102" s="21" t="s">
        <v>11</v>
      </c>
      <c r="C102" s="21" t="s">
        <v>12</v>
      </c>
      <c r="D102" s="21" t="s">
        <v>10</v>
      </c>
      <c r="E102" s="21" t="s">
        <v>20</v>
      </c>
      <c r="F102" s="21" t="s">
        <v>10</v>
      </c>
      <c r="G102" s="21" t="s">
        <v>19</v>
      </c>
      <c r="H102" s="21" t="s">
        <v>10</v>
      </c>
      <c r="I102" s="21" t="s">
        <v>18</v>
      </c>
      <c r="J102" s="21" t="s">
        <v>11</v>
      </c>
      <c r="K102" s="21" t="s">
        <v>10</v>
      </c>
      <c r="L102" s="21" t="s">
        <v>12</v>
      </c>
      <c r="M102" s="21" t="s">
        <v>10</v>
      </c>
      <c r="N102" s="21" t="s">
        <v>10</v>
      </c>
      <c r="O102" s="21" t="s">
        <v>10</v>
      </c>
      <c r="P102" s="21" t="s">
        <v>10</v>
      </c>
      <c r="Q102" s="21" t="s">
        <v>10</v>
      </c>
      <c r="R102" s="121" t="s">
        <v>118</v>
      </c>
      <c r="S102" s="124" t="s">
        <v>33</v>
      </c>
      <c r="T102" s="25">
        <f>T103+T104</f>
        <v>2816</v>
      </c>
      <c r="U102" s="60"/>
      <c r="V102" s="60"/>
      <c r="W102" s="25"/>
      <c r="X102" s="25"/>
      <c r="Y102" s="25"/>
      <c r="Z102" s="25">
        <f t="shared" si="12"/>
        <v>2816</v>
      </c>
      <c r="AA102" s="23">
        <v>2021</v>
      </c>
      <c r="AB102" s="79"/>
      <c r="AC102" s="43"/>
    </row>
    <row r="103" spans="1:29" ht="27.6" customHeight="1" x14ac:dyDescent="0.25">
      <c r="A103" s="21" t="s">
        <v>10</v>
      </c>
      <c r="B103" s="21" t="s">
        <v>11</v>
      </c>
      <c r="C103" s="21" t="s">
        <v>12</v>
      </c>
      <c r="D103" s="21" t="s">
        <v>10</v>
      </c>
      <c r="E103" s="21" t="s">
        <v>20</v>
      </c>
      <c r="F103" s="21" t="s">
        <v>10</v>
      </c>
      <c r="G103" s="21" t="s">
        <v>19</v>
      </c>
      <c r="H103" s="21" t="s">
        <v>10</v>
      </c>
      <c r="I103" s="21" t="s">
        <v>18</v>
      </c>
      <c r="J103" s="21" t="s">
        <v>11</v>
      </c>
      <c r="K103" s="21" t="s">
        <v>10</v>
      </c>
      <c r="L103" s="21" t="s">
        <v>12</v>
      </c>
      <c r="M103" s="21" t="s">
        <v>40</v>
      </c>
      <c r="N103" s="21" t="s">
        <v>10</v>
      </c>
      <c r="O103" s="21" t="s">
        <v>18</v>
      </c>
      <c r="P103" s="21" t="s">
        <v>17</v>
      </c>
      <c r="Q103" s="21" t="s">
        <v>11</v>
      </c>
      <c r="R103" s="122"/>
      <c r="S103" s="125"/>
      <c r="T103" s="24">
        <f>900-336.8</f>
        <v>563.20000000000005</v>
      </c>
      <c r="U103" s="56"/>
      <c r="V103" s="56"/>
      <c r="W103" s="24"/>
      <c r="X103" s="24"/>
      <c r="Y103" s="24"/>
      <c r="Z103" s="25">
        <f t="shared" si="12"/>
        <v>563.20000000000005</v>
      </c>
      <c r="AA103" s="23">
        <v>2021</v>
      </c>
      <c r="AB103" s="79"/>
    </row>
    <row r="104" spans="1:29" ht="27.6" customHeight="1" x14ac:dyDescent="0.25">
      <c r="A104" s="21" t="s">
        <v>10</v>
      </c>
      <c r="B104" s="21" t="s">
        <v>11</v>
      </c>
      <c r="C104" s="21" t="s">
        <v>12</v>
      </c>
      <c r="D104" s="21" t="s">
        <v>10</v>
      </c>
      <c r="E104" s="21" t="s">
        <v>20</v>
      </c>
      <c r="F104" s="21" t="s">
        <v>10</v>
      </c>
      <c r="G104" s="21" t="s">
        <v>19</v>
      </c>
      <c r="H104" s="21" t="s">
        <v>10</v>
      </c>
      <c r="I104" s="21" t="s">
        <v>18</v>
      </c>
      <c r="J104" s="21" t="s">
        <v>11</v>
      </c>
      <c r="K104" s="21" t="s">
        <v>10</v>
      </c>
      <c r="L104" s="21" t="s">
        <v>12</v>
      </c>
      <c r="M104" s="21" t="s">
        <v>11</v>
      </c>
      <c r="N104" s="21" t="s">
        <v>10</v>
      </c>
      <c r="O104" s="21" t="s">
        <v>18</v>
      </c>
      <c r="P104" s="21" t="s">
        <v>17</v>
      </c>
      <c r="Q104" s="21" t="s">
        <v>11</v>
      </c>
      <c r="R104" s="123"/>
      <c r="S104" s="126"/>
      <c r="T104" s="24">
        <f>3600-1347.2</f>
        <v>2252.8000000000002</v>
      </c>
      <c r="U104" s="56"/>
      <c r="V104" s="56"/>
      <c r="W104" s="24"/>
      <c r="X104" s="24"/>
      <c r="Y104" s="24"/>
      <c r="Z104" s="25">
        <f t="shared" si="12"/>
        <v>2252.8000000000002</v>
      </c>
      <c r="AA104" s="23">
        <v>2021</v>
      </c>
      <c r="AB104" s="79"/>
    </row>
    <row r="105" spans="1:29" ht="30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7" t="s">
        <v>57</v>
      </c>
      <c r="S105" s="6" t="s">
        <v>39</v>
      </c>
      <c r="T105" s="61">
        <v>0.317</v>
      </c>
      <c r="U105" s="113"/>
      <c r="V105" s="113"/>
      <c r="W105" s="61"/>
      <c r="X105" s="61"/>
      <c r="Y105" s="61"/>
      <c r="Z105" s="62">
        <f t="shared" si="12"/>
        <v>0.317</v>
      </c>
      <c r="AA105" s="6">
        <v>2021</v>
      </c>
      <c r="AB105" s="78"/>
    </row>
    <row r="106" spans="1:29" ht="27.6" customHeight="1" x14ac:dyDescent="0.25">
      <c r="A106" s="21" t="s">
        <v>10</v>
      </c>
      <c r="B106" s="21" t="s">
        <v>11</v>
      </c>
      <c r="C106" s="21" t="s">
        <v>12</v>
      </c>
      <c r="D106" s="21" t="s">
        <v>10</v>
      </c>
      <c r="E106" s="21" t="s">
        <v>20</v>
      </c>
      <c r="F106" s="21" t="s">
        <v>10</v>
      </c>
      <c r="G106" s="21" t="s">
        <v>19</v>
      </c>
      <c r="H106" s="21" t="s">
        <v>10</v>
      </c>
      <c r="I106" s="21" t="s">
        <v>18</v>
      </c>
      <c r="J106" s="21" t="s">
        <v>11</v>
      </c>
      <c r="K106" s="21" t="s">
        <v>10</v>
      </c>
      <c r="L106" s="21" t="s">
        <v>12</v>
      </c>
      <c r="M106" s="21" t="s">
        <v>10</v>
      </c>
      <c r="N106" s="21" t="s">
        <v>10</v>
      </c>
      <c r="O106" s="21" t="s">
        <v>10</v>
      </c>
      <c r="P106" s="21" t="s">
        <v>10</v>
      </c>
      <c r="Q106" s="21" t="s">
        <v>10</v>
      </c>
      <c r="R106" s="121" t="s">
        <v>121</v>
      </c>
      <c r="S106" s="124" t="s">
        <v>33</v>
      </c>
      <c r="T106" s="25">
        <f>T107+T108</f>
        <v>23558.899999999998</v>
      </c>
      <c r="U106" s="60"/>
      <c r="V106" s="60"/>
      <c r="W106" s="25"/>
      <c r="X106" s="25"/>
      <c r="Y106" s="25"/>
      <c r="Z106" s="25">
        <f t="shared" si="12"/>
        <v>23558.899999999998</v>
      </c>
      <c r="AA106" s="23">
        <v>2021</v>
      </c>
      <c r="AB106" s="79"/>
      <c r="AC106" s="43"/>
    </row>
    <row r="107" spans="1:29" ht="29.45" customHeight="1" x14ac:dyDescent="0.25">
      <c r="A107" s="21" t="s">
        <v>10</v>
      </c>
      <c r="B107" s="21" t="s">
        <v>11</v>
      </c>
      <c r="C107" s="21" t="s">
        <v>12</v>
      </c>
      <c r="D107" s="21" t="s">
        <v>10</v>
      </c>
      <c r="E107" s="21" t="s">
        <v>20</v>
      </c>
      <c r="F107" s="21" t="s">
        <v>10</v>
      </c>
      <c r="G107" s="21" t="s">
        <v>19</v>
      </c>
      <c r="H107" s="21" t="s">
        <v>10</v>
      </c>
      <c r="I107" s="21" t="s">
        <v>18</v>
      </c>
      <c r="J107" s="21" t="s">
        <v>11</v>
      </c>
      <c r="K107" s="21" t="s">
        <v>10</v>
      </c>
      <c r="L107" s="21" t="s">
        <v>12</v>
      </c>
      <c r="M107" s="21" t="s">
        <v>40</v>
      </c>
      <c r="N107" s="21" t="s">
        <v>10</v>
      </c>
      <c r="O107" s="21" t="s">
        <v>18</v>
      </c>
      <c r="P107" s="21" t="s">
        <v>17</v>
      </c>
      <c r="Q107" s="21" t="s">
        <v>11</v>
      </c>
      <c r="R107" s="122"/>
      <c r="S107" s="125"/>
      <c r="T107" s="24">
        <f>6288.6-1576.8</f>
        <v>4711.8</v>
      </c>
      <c r="U107" s="56"/>
      <c r="V107" s="56"/>
      <c r="W107" s="24"/>
      <c r="X107" s="24"/>
      <c r="Y107" s="24"/>
      <c r="Z107" s="25">
        <f t="shared" si="12"/>
        <v>4711.8</v>
      </c>
      <c r="AA107" s="23">
        <v>2021</v>
      </c>
      <c r="AB107" s="79"/>
    </row>
    <row r="108" spans="1:29" ht="26.45" customHeight="1" x14ac:dyDescent="0.25">
      <c r="A108" s="21" t="s">
        <v>10</v>
      </c>
      <c r="B108" s="21" t="s">
        <v>11</v>
      </c>
      <c r="C108" s="21" t="s">
        <v>12</v>
      </c>
      <c r="D108" s="21" t="s">
        <v>10</v>
      </c>
      <c r="E108" s="21" t="s">
        <v>20</v>
      </c>
      <c r="F108" s="21" t="s">
        <v>10</v>
      </c>
      <c r="G108" s="21" t="s">
        <v>19</v>
      </c>
      <c r="H108" s="21" t="s">
        <v>10</v>
      </c>
      <c r="I108" s="21" t="s">
        <v>18</v>
      </c>
      <c r="J108" s="21" t="s">
        <v>11</v>
      </c>
      <c r="K108" s="21" t="s">
        <v>10</v>
      </c>
      <c r="L108" s="21" t="s">
        <v>12</v>
      </c>
      <c r="M108" s="21" t="s">
        <v>11</v>
      </c>
      <c r="N108" s="21" t="s">
        <v>10</v>
      </c>
      <c r="O108" s="21" t="s">
        <v>18</v>
      </c>
      <c r="P108" s="21" t="s">
        <v>17</v>
      </c>
      <c r="Q108" s="21" t="s">
        <v>11</v>
      </c>
      <c r="R108" s="123"/>
      <c r="S108" s="126"/>
      <c r="T108" s="24">
        <f>25154.3-6307.2</f>
        <v>18847.099999999999</v>
      </c>
      <c r="U108" s="56"/>
      <c r="V108" s="56"/>
      <c r="W108" s="24"/>
      <c r="X108" s="24"/>
      <c r="Y108" s="24"/>
      <c r="Z108" s="25">
        <f t="shared" si="12"/>
        <v>18847.099999999999</v>
      </c>
      <c r="AA108" s="23">
        <v>2021</v>
      </c>
      <c r="AB108" s="79"/>
    </row>
    <row r="109" spans="1:29" ht="30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7" t="s">
        <v>57</v>
      </c>
      <c r="S109" s="6" t="s">
        <v>39</v>
      </c>
      <c r="T109" s="61">
        <v>4.9059999999999997</v>
      </c>
      <c r="U109" s="113"/>
      <c r="V109" s="113"/>
      <c r="W109" s="61"/>
      <c r="X109" s="61"/>
      <c r="Y109" s="61"/>
      <c r="Z109" s="62">
        <f t="shared" si="12"/>
        <v>4.9059999999999997</v>
      </c>
      <c r="AA109" s="6">
        <v>2021</v>
      </c>
      <c r="AB109" s="78"/>
    </row>
    <row r="110" spans="1:29" ht="36" customHeight="1" x14ac:dyDescent="0.25">
      <c r="A110" s="21" t="s">
        <v>10</v>
      </c>
      <c r="B110" s="21" t="s">
        <v>11</v>
      </c>
      <c r="C110" s="21" t="s">
        <v>12</v>
      </c>
      <c r="D110" s="21" t="s">
        <v>10</v>
      </c>
      <c r="E110" s="21" t="s">
        <v>20</v>
      </c>
      <c r="F110" s="21" t="s">
        <v>10</v>
      </c>
      <c r="G110" s="21" t="s">
        <v>19</v>
      </c>
      <c r="H110" s="21" t="s">
        <v>10</v>
      </c>
      <c r="I110" s="21" t="s">
        <v>18</v>
      </c>
      <c r="J110" s="21" t="s">
        <v>11</v>
      </c>
      <c r="K110" s="21" t="s">
        <v>10</v>
      </c>
      <c r="L110" s="21" t="s">
        <v>12</v>
      </c>
      <c r="M110" s="21" t="s">
        <v>10</v>
      </c>
      <c r="N110" s="21" t="s">
        <v>10</v>
      </c>
      <c r="O110" s="21" t="s">
        <v>10</v>
      </c>
      <c r="P110" s="21" t="s">
        <v>10</v>
      </c>
      <c r="Q110" s="21" t="s">
        <v>10</v>
      </c>
      <c r="R110" s="121" t="s">
        <v>122</v>
      </c>
      <c r="S110" s="124" t="s">
        <v>33</v>
      </c>
      <c r="T110" s="25">
        <f>T111+T112</f>
        <v>3696.9</v>
      </c>
      <c r="U110" s="60"/>
      <c r="V110" s="60"/>
      <c r="W110" s="25"/>
      <c r="X110" s="25"/>
      <c r="Y110" s="25"/>
      <c r="Z110" s="25">
        <f t="shared" si="12"/>
        <v>3696.9</v>
      </c>
      <c r="AA110" s="23">
        <v>2021</v>
      </c>
      <c r="AB110" s="79"/>
      <c r="AC110" s="43"/>
    </row>
    <row r="111" spans="1:29" ht="32.450000000000003" customHeight="1" x14ac:dyDescent="0.25">
      <c r="A111" s="21" t="s">
        <v>10</v>
      </c>
      <c r="B111" s="21" t="s">
        <v>11</v>
      </c>
      <c r="C111" s="21" t="s">
        <v>12</v>
      </c>
      <c r="D111" s="21" t="s">
        <v>10</v>
      </c>
      <c r="E111" s="21" t="s">
        <v>20</v>
      </c>
      <c r="F111" s="21" t="s">
        <v>10</v>
      </c>
      <c r="G111" s="21" t="s">
        <v>19</v>
      </c>
      <c r="H111" s="21" t="s">
        <v>10</v>
      </c>
      <c r="I111" s="21" t="s">
        <v>18</v>
      </c>
      <c r="J111" s="21" t="s">
        <v>11</v>
      </c>
      <c r="K111" s="21" t="s">
        <v>10</v>
      </c>
      <c r="L111" s="21" t="s">
        <v>12</v>
      </c>
      <c r="M111" s="21" t="s">
        <v>40</v>
      </c>
      <c r="N111" s="21" t="s">
        <v>10</v>
      </c>
      <c r="O111" s="21" t="s">
        <v>18</v>
      </c>
      <c r="P111" s="21" t="s">
        <v>17</v>
      </c>
      <c r="Q111" s="21" t="s">
        <v>11</v>
      </c>
      <c r="R111" s="122"/>
      <c r="S111" s="125"/>
      <c r="T111" s="24">
        <f>628.9+110.5</f>
        <v>739.4</v>
      </c>
      <c r="U111" s="56"/>
      <c r="V111" s="56"/>
      <c r="W111" s="24"/>
      <c r="X111" s="24"/>
      <c r="Y111" s="24"/>
      <c r="Z111" s="25">
        <f t="shared" si="12"/>
        <v>739.4</v>
      </c>
      <c r="AA111" s="23">
        <v>2021</v>
      </c>
      <c r="AB111" s="79"/>
    </row>
    <row r="112" spans="1:29" ht="38.450000000000003" customHeight="1" x14ac:dyDescent="0.25">
      <c r="A112" s="21" t="s">
        <v>10</v>
      </c>
      <c r="B112" s="21" t="s">
        <v>11</v>
      </c>
      <c r="C112" s="21" t="s">
        <v>12</v>
      </c>
      <c r="D112" s="21" t="s">
        <v>10</v>
      </c>
      <c r="E112" s="21" t="s">
        <v>20</v>
      </c>
      <c r="F112" s="21" t="s">
        <v>10</v>
      </c>
      <c r="G112" s="21" t="s">
        <v>19</v>
      </c>
      <c r="H112" s="21" t="s">
        <v>10</v>
      </c>
      <c r="I112" s="21" t="s">
        <v>18</v>
      </c>
      <c r="J112" s="21" t="s">
        <v>11</v>
      </c>
      <c r="K112" s="21" t="s">
        <v>10</v>
      </c>
      <c r="L112" s="21" t="s">
        <v>12</v>
      </c>
      <c r="M112" s="21" t="s">
        <v>11</v>
      </c>
      <c r="N112" s="21" t="s">
        <v>10</v>
      </c>
      <c r="O112" s="21" t="s">
        <v>18</v>
      </c>
      <c r="P112" s="21" t="s">
        <v>17</v>
      </c>
      <c r="Q112" s="21" t="s">
        <v>11</v>
      </c>
      <c r="R112" s="123"/>
      <c r="S112" s="126"/>
      <c r="T112" s="24">
        <f>2515.5+442</f>
        <v>2957.5</v>
      </c>
      <c r="U112" s="56"/>
      <c r="V112" s="56"/>
      <c r="W112" s="24"/>
      <c r="X112" s="24"/>
      <c r="Y112" s="24"/>
      <c r="Z112" s="25">
        <f t="shared" si="12"/>
        <v>2957.5</v>
      </c>
      <c r="AA112" s="23">
        <v>2021</v>
      </c>
      <c r="AB112" s="79"/>
    </row>
    <row r="113" spans="1:29" ht="30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7" t="s">
        <v>125</v>
      </c>
      <c r="S113" s="6" t="s">
        <v>2</v>
      </c>
      <c r="T113" s="5">
        <v>2.1</v>
      </c>
      <c r="U113" s="110"/>
      <c r="V113" s="110"/>
      <c r="W113" s="5"/>
      <c r="X113" s="5"/>
      <c r="Y113" s="5"/>
      <c r="Z113" s="3">
        <f t="shared" si="12"/>
        <v>2.1</v>
      </c>
      <c r="AA113" s="6">
        <v>2021</v>
      </c>
      <c r="AB113" s="78"/>
    </row>
    <row r="114" spans="1:29" ht="27.6" customHeight="1" x14ac:dyDescent="0.25">
      <c r="A114" s="21" t="s">
        <v>10</v>
      </c>
      <c r="B114" s="21" t="s">
        <v>11</v>
      </c>
      <c r="C114" s="21" t="s">
        <v>12</v>
      </c>
      <c r="D114" s="21" t="s">
        <v>10</v>
      </c>
      <c r="E114" s="21" t="s">
        <v>20</v>
      </c>
      <c r="F114" s="21" t="s">
        <v>10</v>
      </c>
      <c r="G114" s="21" t="s">
        <v>19</v>
      </c>
      <c r="H114" s="21" t="s">
        <v>10</v>
      </c>
      <c r="I114" s="21" t="s">
        <v>18</v>
      </c>
      <c r="J114" s="21" t="s">
        <v>11</v>
      </c>
      <c r="K114" s="21" t="s">
        <v>10</v>
      </c>
      <c r="L114" s="21" t="s">
        <v>12</v>
      </c>
      <c r="M114" s="21" t="s">
        <v>10</v>
      </c>
      <c r="N114" s="21" t="s">
        <v>10</v>
      </c>
      <c r="O114" s="21" t="s">
        <v>10</v>
      </c>
      <c r="P114" s="21" t="s">
        <v>10</v>
      </c>
      <c r="Q114" s="21" t="s">
        <v>10</v>
      </c>
      <c r="R114" s="121" t="s">
        <v>126</v>
      </c>
      <c r="S114" s="124" t="s">
        <v>33</v>
      </c>
      <c r="T114" s="25">
        <f>T115+T116</f>
        <v>4478</v>
      </c>
      <c r="U114" s="60"/>
      <c r="V114" s="60"/>
      <c r="W114" s="25"/>
      <c r="X114" s="25"/>
      <c r="Y114" s="25"/>
      <c r="Z114" s="25">
        <f t="shared" ref="Z114:Z126" si="13">T114+U114+V114+W114+X114+Y114</f>
        <v>4478</v>
      </c>
      <c r="AA114" s="23">
        <v>2021</v>
      </c>
      <c r="AB114" s="79"/>
      <c r="AC114" s="43"/>
    </row>
    <row r="115" spans="1:29" ht="27.6" customHeight="1" x14ac:dyDescent="0.25">
      <c r="A115" s="21" t="s">
        <v>10</v>
      </c>
      <c r="B115" s="21" t="s">
        <v>11</v>
      </c>
      <c r="C115" s="21" t="s">
        <v>12</v>
      </c>
      <c r="D115" s="21" t="s">
        <v>10</v>
      </c>
      <c r="E115" s="21" t="s">
        <v>20</v>
      </c>
      <c r="F115" s="21" t="s">
        <v>10</v>
      </c>
      <c r="G115" s="21" t="s">
        <v>19</v>
      </c>
      <c r="H115" s="21" t="s">
        <v>10</v>
      </c>
      <c r="I115" s="21" t="s">
        <v>18</v>
      </c>
      <c r="J115" s="21" t="s">
        <v>11</v>
      </c>
      <c r="K115" s="21" t="s">
        <v>10</v>
      </c>
      <c r="L115" s="21" t="s">
        <v>12</v>
      </c>
      <c r="M115" s="21" t="s">
        <v>40</v>
      </c>
      <c r="N115" s="21" t="s">
        <v>10</v>
      </c>
      <c r="O115" s="21" t="s">
        <v>18</v>
      </c>
      <c r="P115" s="21" t="s">
        <v>17</v>
      </c>
      <c r="Q115" s="21" t="s">
        <v>11</v>
      </c>
      <c r="R115" s="122"/>
      <c r="S115" s="125"/>
      <c r="T115" s="24">
        <v>895.6</v>
      </c>
      <c r="U115" s="56"/>
      <c r="V115" s="56"/>
      <c r="W115" s="24"/>
      <c r="X115" s="24"/>
      <c r="Y115" s="24"/>
      <c r="Z115" s="25">
        <f t="shared" si="13"/>
        <v>895.6</v>
      </c>
      <c r="AA115" s="23">
        <v>2021</v>
      </c>
      <c r="AB115" s="79"/>
    </row>
    <row r="116" spans="1:29" ht="27.6" customHeight="1" x14ac:dyDescent="0.25">
      <c r="A116" s="21" t="s">
        <v>10</v>
      </c>
      <c r="B116" s="21" t="s">
        <v>11</v>
      </c>
      <c r="C116" s="21" t="s">
        <v>12</v>
      </c>
      <c r="D116" s="21" t="s">
        <v>10</v>
      </c>
      <c r="E116" s="21" t="s">
        <v>20</v>
      </c>
      <c r="F116" s="21" t="s">
        <v>10</v>
      </c>
      <c r="G116" s="21" t="s">
        <v>19</v>
      </c>
      <c r="H116" s="21" t="s">
        <v>10</v>
      </c>
      <c r="I116" s="21" t="s">
        <v>18</v>
      </c>
      <c r="J116" s="21" t="s">
        <v>11</v>
      </c>
      <c r="K116" s="21" t="s">
        <v>10</v>
      </c>
      <c r="L116" s="21" t="s">
        <v>12</v>
      </c>
      <c r="M116" s="21" t="s">
        <v>11</v>
      </c>
      <c r="N116" s="21" t="s">
        <v>10</v>
      </c>
      <c r="O116" s="21" t="s">
        <v>18</v>
      </c>
      <c r="P116" s="21" t="s">
        <v>17</v>
      </c>
      <c r="Q116" s="21" t="s">
        <v>11</v>
      </c>
      <c r="R116" s="123"/>
      <c r="S116" s="126"/>
      <c r="T116" s="24">
        <v>3582.4</v>
      </c>
      <c r="U116" s="56"/>
      <c r="V116" s="56"/>
      <c r="W116" s="24"/>
      <c r="X116" s="24"/>
      <c r="Y116" s="24"/>
      <c r="Z116" s="25">
        <f t="shared" si="13"/>
        <v>3582.4</v>
      </c>
      <c r="AA116" s="23">
        <v>2021</v>
      </c>
      <c r="AB116" s="79"/>
    </row>
    <row r="117" spans="1:29" ht="30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7" t="s">
        <v>108</v>
      </c>
      <c r="S117" s="6" t="s">
        <v>2</v>
      </c>
      <c r="T117" s="61">
        <v>0.1118</v>
      </c>
      <c r="U117" s="113"/>
      <c r="V117" s="113"/>
      <c r="W117" s="61"/>
      <c r="X117" s="61"/>
      <c r="Y117" s="61"/>
      <c r="Z117" s="62">
        <f t="shared" ref="Z117" si="14">T117+U117+V117+W117+X117+Y117</f>
        <v>0.1118</v>
      </c>
      <c r="AA117" s="6">
        <v>2021</v>
      </c>
      <c r="AB117" s="78"/>
    </row>
    <row r="118" spans="1:29" ht="30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7" t="s">
        <v>123</v>
      </c>
      <c r="S118" s="6" t="s">
        <v>39</v>
      </c>
      <c r="T118" s="61">
        <v>0.47699999999999998</v>
      </c>
      <c r="U118" s="113"/>
      <c r="V118" s="113"/>
      <c r="W118" s="61"/>
      <c r="X118" s="61"/>
      <c r="Y118" s="61"/>
      <c r="Z118" s="62">
        <f t="shared" si="13"/>
        <v>0.47699999999999998</v>
      </c>
      <c r="AA118" s="6">
        <v>2021</v>
      </c>
      <c r="AB118" s="78"/>
    </row>
    <row r="119" spans="1:29" ht="27.6" customHeight="1" x14ac:dyDescent="0.25">
      <c r="A119" s="21" t="s">
        <v>10</v>
      </c>
      <c r="B119" s="21" t="s">
        <v>11</v>
      </c>
      <c r="C119" s="21" t="s">
        <v>12</v>
      </c>
      <c r="D119" s="21" t="s">
        <v>10</v>
      </c>
      <c r="E119" s="21" t="s">
        <v>20</v>
      </c>
      <c r="F119" s="21" t="s">
        <v>10</v>
      </c>
      <c r="G119" s="21" t="s">
        <v>19</v>
      </c>
      <c r="H119" s="21" t="s">
        <v>10</v>
      </c>
      <c r="I119" s="21" t="s">
        <v>18</v>
      </c>
      <c r="J119" s="21" t="s">
        <v>11</v>
      </c>
      <c r="K119" s="21" t="s">
        <v>10</v>
      </c>
      <c r="L119" s="21" t="s">
        <v>12</v>
      </c>
      <c r="M119" s="21" t="s">
        <v>10</v>
      </c>
      <c r="N119" s="21" t="s">
        <v>10</v>
      </c>
      <c r="O119" s="21" t="s">
        <v>10</v>
      </c>
      <c r="P119" s="21" t="s">
        <v>10</v>
      </c>
      <c r="Q119" s="21" t="s">
        <v>10</v>
      </c>
      <c r="R119" s="121" t="s">
        <v>139</v>
      </c>
      <c r="S119" s="124" t="s">
        <v>33</v>
      </c>
      <c r="T119" s="25">
        <f>T120+T121</f>
        <v>9134.2999999999993</v>
      </c>
      <c r="U119" s="60"/>
      <c r="V119" s="60"/>
      <c r="W119" s="25"/>
      <c r="X119" s="25"/>
      <c r="Y119" s="25"/>
      <c r="Z119" s="25">
        <f t="shared" si="13"/>
        <v>9134.2999999999993</v>
      </c>
      <c r="AA119" s="23">
        <v>2021</v>
      </c>
      <c r="AB119" s="79"/>
      <c r="AC119" s="43"/>
    </row>
    <row r="120" spans="1:29" ht="27.6" customHeight="1" x14ac:dyDescent="0.25">
      <c r="A120" s="21" t="s">
        <v>10</v>
      </c>
      <c r="B120" s="21" t="s">
        <v>11</v>
      </c>
      <c r="C120" s="21" t="s">
        <v>12</v>
      </c>
      <c r="D120" s="21" t="s">
        <v>10</v>
      </c>
      <c r="E120" s="21" t="s">
        <v>20</v>
      </c>
      <c r="F120" s="21" t="s">
        <v>10</v>
      </c>
      <c r="G120" s="21" t="s">
        <v>19</v>
      </c>
      <c r="H120" s="21" t="s">
        <v>10</v>
      </c>
      <c r="I120" s="21" t="s">
        <v>18</v>
      </c>
      <c r="J120" s="21" t="s">
        <v>11</v>
      </c>
      <c r="K120" s="21" t="s">
        <v>10</v>
      </c>
      <c r="L120" s="21" t="s">
        <v>12</v>
      </c>
      <c r="M120" s="21" t="s">
        <v>40</v>
      </c>
      <c r="N120" s="21" t="s">
        <v>10</v>
      </c>
      <c r="O120" s="21" t="s">
        <v>18</v>
      </c>
      <c r="P120" s="21" t="s">
        <v>17</v>
      </c>
      <c r="Q120" s="21" t="s">
        <v>11</v>
      </c>
      <c r="R120" s="122"/>
      <c r="S120" s="125"/>
      <c r="T120" s="24">
        <f>1847.2-101.6</f>
        <v>1745.6000000000001</v>
      </c>
      <c r="U120" s="56"/>
      <c r="V120" s="56"/>
      <c r="W120" s="24"/>
      <c r="X120" s="24"/>
      <c r="Y120" s="24"/>
      <c r="Z120" s="25">
        <f t="shared" si="13"/>
        <v>1745.6000000000001</v>
      </c>
      <c r="AA120" s="23">
        <v>2021</v>
      </c>
      <c r="AB120" s="79"/>
    </row>
    <row r="121" spans="1:29" ht="27.6" customHeight="1" x14ac:dyDescent="0.25">
      <c r="A121" s="21" t="s">
        <v>10</v>
      </c>
      <c r="B121" s="21" t="s">
        <v>11</v>
      </c>
      <c r="C121" s="21" t="s">
        <v>12</v>
      </c>
      <c r="D121" s="21" t="s">
        <v>10</v>
      </c>
      <c r="E121" s="21" t="s">
        <v>20</v>
      </c>
      <c r="F121" s="21" t="s">
        <v>10</v>
      </c>
      <c r="G121" s="21" t="s">
        <v>19</v>
      </c>
      <c r="H121" s="21" t="s">
        <v>10</v>
      </c>
      <c r="I121" s="21" t="s">
        <v>18</v>
      </c>
      <c r="J121" s="21" t="s">
        <v>11</v>
      </c>
      <c r="K121" s="21" t="s">
        <v>10</v>
      </c>
      <c r="L121" s="21" t="s">
        <v>12</v>
      </c>
      <c r="M121" s="21" t="s">
        <v>11</v>
      </c>
      <c r="N121" s="21" t="s">
        <v>10</v>
      </c>
      <c r="O121" s="21" t="s">
        <v>18</v>
      </c>
      <c r="P121" s="21" t="s">
        <v>17</v>
      </c>
      <c r="Q121" s="21" t="s">
        <v>11</v>
      </c>
      <c r="R121" s="123"/>
      <c r="S121" s="126"/>
      <c r="T121" s="24">
        <v>7388.7</v>
      </c>
      <c r="U121" s="56"/>
      <c r="V121" s="56"/>
      <c r="W121" s="24"/>
      <c r="X121" s="24"/>
      <c r="Y121" s="24"/>
      <c r="Z121" s="25">
        <f t="shared" si="13"/>
        <v>7388.7</v>
      </c>
      <c r="AA121" s="23">
        <v>2021</v>
      </c>
      <c r="AB121" s="79"/>
    </row>
    <row r="122" spans="1:29" ht="39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7" t="s">
        <v>108</v>
      </c>
      <c r="S122" s="6" t="s">
        <v>2</v>
      </c>
      <c r="T122" s="61">
        <v>0.29799999999999999</v>
      </c>
      <c r="U122" s="113"/>
      <c r="V122" s="113"/>
      <c r="W122" s="61"/>
      <c r="X122" s="61"/>
      <c r="Y122" s="61"/>
      <c r="Z122" s="62">
        <f t="shared" si="13"/>
        <v>0.29799999999999999</v>
      </c>
      <c r="AA122" s="6">
        <v>2021</v>
      </c>
      <c r="AB122" s="78"/>
    </row>
    <row r="123" spans="1:29" ht="27.6" customHeight="1" x14ac:dyDescent="0.25">
      <c r="A123" s="21" t="s">
        <v>10</v>
      </c>
      <c r="B123" s="21" t="s">
        <v>11</v>
      </c>
      <c r="C123" s="21" t="s">
        <v>12</v>
      </c>
      <c r="D123" s="21" t="s">
        <v>10</v>
      </c>
      <c r="E123" s="21" t="s">
        <v>20</v>
      </c>
      <c r="F123" s="21" t="s">
        <v>10</v>
      </c>
      <c r="G123" s="21" t="s">
        <v>19</v>
      </c>
      <c r="H123" s="21" t="s">
        <v>10</v>
      </c>
      <c r="I123" s="21" t="s">
        <v>18</v>
      </c>
      <c r="J123" s="21" t="s">
        <v>11</v>
      </c>
      <c r="K123" s="21" t="s">
        <v>10</v>
      </c>
      <c r="L123" s="21" t="s">
        <v>12</v>
      </c>
      <c r="M123" s="21" t="s">
        <v>10</v>
      </c>
      <c r="N123" s="21" t="s">
        <v>10</v>
      </c>
      <c r="O123" s="21" t="s">
        <v>10</v>
      </c>
      <c r="P123" s="21" t="s">
        <v>10</v>
      </c>
      <c r="Q123" s="21" t="s">
        <v>10</v>
      </c>
      <c r="R123" s="121" t="s">
        <v>127</v>
      </c>
      <c r="S123" s="124" t="s">
        <v>33</v>
      </c>
      <c r="T123" s="25">
        <f>T124+T125</f>
        <v>34000</v>
      </c>
      <c r="U123" s="60"/>
      <c r="V123" s="60"/>
      <c r="W123" s="25"/>
      <c r="X123" s="25"/>
      <c r="Y123" s="25"/>
      <c r="Z123" s="25">
        <f t="shared" si="13"/>
        <v>34000</v>
      </c>
      <c r="AA123" s="23">
        <v>2021</v>
      </c>
      <c r="AB123" s="79"/>
      <c r="AC123" s="43"/>
    </row>
    <row r="124" spans="1:29" ht="27.6" customHeight="1" x14ac:dyDescent="0.25">
      <c r="A124" s="21" t="s">
        <v>10</v>
      </c>
      <c r="B124" s="21" t="s">
        <v>11</v>
      </c>
      <c r="C124" s="21" t="s">
        <v>12</v>
      </c>
      <c r="D124" s="21" t="s">
        <v>10</v>
      </c>
      <c r="E124" s="21" t="s">
        <v>20</v>
      </c>
      <c r="F124" s="21" t="s">
        <v>10</v>
      </c>
      <c r="G124" s="21" t="s">
        <v>19</v>
      </c>
      <c r="H124" s="21" t="s">
        <v>10</v>
      </c>
      <c r="I124" s="21" t="s">
        <v>18</v>
      </c>
      <c r="J124" s="21" t="s">
        <v>11</v>
      </c>
      <c r="K124" s="21" t="s">
        <v>10</v>
      </c>
      <c r="L124" s="21" t="s">
        <v>12</v>
      </c>
      <c r="M124" s="21" t="s">
        <v>40</v>
      </c>
      <c r="N124" s="21" t="s">
        <v>10</v>
      </c>
      <c r="O124" s="21" t="s">
        <v>18</v>
      </c>
      <c r="P124" s="21" t="s">
        <v>17</v>
      </c>
      <c r="Q124" s="21" t="s">
        <v>11</v>
      </c>
      <c r="R124" s="122"/>
      <c r="S124" s="125"/>
      <c r="T124" s="24">
        <v>6800</v>
      </c>
      <c r="U124" s="56"/>
      <c r="V124" s="56"/>
      <c r="W124" s="24"/>
      <c r="X124" s="24"/>
      <c r="Y124" s="24"/>
      <c r="Z124" s="25">
        <f t="shared" si="13"/>
        <v>6800</v>
      </c>
      <c r="AA124" s="23">
        <v>2021</v>
      </c>
      <c r="AB124" s="79"/>
    </row>
    <row r="125" spans="1:29" ht="27.6" customHeight="1" x14ac:dyDescent="0.25">
      <c r="A125" s="21" t="s">
        <v>10</v>
      </c>
      <c r="B125" s="21" t="s">
        <v>11</v>
      </c>
      <c r="C125" s="21" t="s">
        <v>12</v>
      </c>
      <c r="D125" s="21" t="s">
        <v>10</v>
      </c>
      <c r="E125" s="21" t="s">
        <v>20</v>
      </c>
      <c r="F125" s="21" t="s">
        <v>10</v>
      </c>
      <c r="G125" s="21" t="s">
        <v>19</v>
      </c>
      <c r="H125" s="21" t="s">
        <v>10</v>
      </c>
      <c r="I125" s="21" t="s">
        <v>18</v>
      </c>
      <c r="J125" s="21" t="s">
        <v>11</v>
      </c>
      <c r="K125" s="21" t="s">
        <v>10</v>
      </c>
      <c r="L125" s="21" t="s">
        <v>12</v>
      </c>
      <c r="M125" s="21" t="s">
        <v>11</v>
      </c>
      <c r="N125" s="21" t="s">
        <v>10</v>
      </c>
      <c r="O125" s="21" t="s">
        <v>18</v>
      </c>
      <c r="P125" s="21" t="s">
        <v>17</v>
      </c>
      <c r="Q125" s="21" t="s">
        <v>11</v>
      </c>
      <c r="R125" s="123"/>
      <c r="S125" s="126"/>
      <c r="T125" s="24">
        <v>27200</v>
      </c>
      <c r="U125" s="56"/>
      <c r="V125" s="56"/>
      <c r="W125" s="24"/>
      <c r="X125" s="24"/>
      <c r="Y125" s="24"/>
      <c r="Z125" s="25">
        <f t="shared" si="13"/>
        <v>27200</v>
      </c>
      <c r="AA125" s="23">
        <v>2021</v>
      </c>
      <c r="AB125" s="79"/>
    </row>
    <row r="126" spans="1:29" ht="36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7" t="s">
        <v>108</v>
      </c>
      <c r="S126" s="6" t="s">
        <v>2</v>
      </c>
      <c r="T126" s="61">
        <v>0.84899999999999998</v>
      </c>
      <c r="U126" s="113"/>
      <c r="V126" s="113"/>
      <c r="W126" s="61"/>
      <c r="X126" s="61"/>
      <c r="Y126" s="61"/>
      <c r="Z126" s="62">
        <f t="shared" si="13"/>
        <v>0.84899999999999998</v>
      </c>
      <c r="AA126" s="6">
        <v>2021</v>
      </c>
      <c r="AB126" s="78"/>
    </row>
    <row r="127" spans="1:29" ht="42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7" t="s">
        <v>123</v>
      </c>
      <c r="S127" s="6" t="s">
        <v>39</v>
      </c>
      <c r="T127" s="61">
        <v>1.452</v>
      </c>
      <c r="U127" s="113"/>
      <c r="V127" s="113"/>
      <c r="W127" s="61"/>
      <c r="X127" s="61"/>
      <c r="Y127" s="61"/>
      <c r="Z127" s="62">
        <f t="shared" ref="Z127" si="15">T127+U127+V127+W127+X127+Y127</f>
        <v>1.452</v>
      </c>
      <c r="AA127" s="6">
        <v>2021</v>
      </c>
      <c r="AB127" s="78"/>
    </row>
    <row r="128" spans="1:29" ht="27.6" customHeight="1" x14ac:dyDescent="0.25">
      <c r="A128" s="21" t="s">
        <v>10</v>
      </c>
      <c r="B128" s="21" t="s">
        <v>11</v>
      </c>
      <c r="C128" s="21" t="s">
        <v>12</v>
      </c>
      <c r="D128" s="21" t="s">
        <v>10</v>
      </c>
      <c r="E128" s="21" t="s">
        <v>20</v>
      </c>
      <c r="F128" s="21" t="s">
        <v>10</v>
      </c>
      <c r="G128" s="21" t="s">
        <v>19</v>
      </c>
      <c r="H128" s="21" t="s">
        <v>10</v>
      </c>
      <c r="I128" s="21" t="s">
        <v>18</v>
      </c>
      <c r="J128" s="21" t="s">
        <v>11</v>
      </c>
      <c r="K128" s="21" t="s">
        <v>10</v>
      </c>
      <c r="L128" s="21" t="s">
        <v>12</v>
      </c>
      <c r="M128" s="21" t="s">
        <v>10</v>
      </c>
      <c r="N128" s="21" t="s">
        <v>10</v>
      </c>
      <c r="O128" s="21" t="s">
        <v>10</v>
      </c>
      <c r="P128" s="21" t="s">
        <v>10</v>
      </c>
      <c r="Q128" s="21" t="s">
        <v>10</v>
      </c>
      <c r="R128" s="121" t="s">
        <v>128</v>
      </c>
      <c r="S128" s="124" t="s">
        <v>33</v>
      </c>
      <c r="T128" s="25">
        <f>T129+T130</f>
        <v>2500</v>
      </c>
      <c r="U128" s="60"/>
      <c r="V128" s="60"/>
      <c r="W128" s="25"/>
      <c r="X128" s="25"/>
      <c r="Y128" s="25"/>
      <c r="Z128" s="25">
        <f t="shared" ref="Z128:Z135" si="16">T128+U128+V128+W128+X128+Y128</f>
        <v>2500</v>
      </c>
      <c r="AA128" s="23">
        <v>2021</v>
      </c>
      <c r="AB128" s="79"/>
      <c r="AC128" s="43"/>
    </row>
    <row r="129" spans="1:29" ht="27.6" customHeight="1" x14ac:dyDescent="0.25">
      <c r="A129" s="21" t="s">
        <v>10</v>
      </c>
      <c r="B129" s="21" t="s">
        <v>11</v>
      </c>
      <c r="C129" s="21" t="s">
        <v>12</v>
      </c>
      <c r="D129" s="21" t="s">
        <v>10</v>
      </c>
      <c r="E129" s="21" t="s">
        <v>20</v>
      </c>
      <c r="F129" s="21" t="s">
        <v>10</v>
      </c>
      <c r="G129" s="21" t="s">
        <v>19</v>
      </c>
      <c r="H129" s="21" t="s">
        <v>10</v>
      </c>
      <c r="I129" s="21" t="s">
        <v>18</v>
      </c>
      <c r="J129" s="21" t="s">
        <v>11</v>
      </c>
      <c r="K129" s="21" t="s">
        <v>10</v>
      </c>
      <c r="L129" s="21" t="s">
        <v>12</v>
      </c>
      <c r="M129" s="21" t="s">
        <v>40</v>
      </c>
      <c r="N129" s="21" t="s">
        <v>10</v>
      </c>
      <c r="O129" s="21" t="s">
        <v>18</v>
      </c>
      <c r="P129" s="21" t="s">
        <v>17</v>
      </c>
      <c r="Q129" s="21" t="s">
        <v>11</v>
      </c>
      <c r="R129" s="122"/>
      <c r="S129" s="125"/>
      <c r="T129" s="24">
        <v>500</v>
      </c>
      <c r="U129" s="56"/>
      <c r="V129" s="56"/>
      <c r="W129" s="24"/>
      <c r="X129" s="24"/>
      <c r="Y129" s="24"/>
      <c r="Z129" s="25">
        <f t="shared" si="16"/>
        <v>500</v>
      </c>
      <c r="AA129" s="23">
        <v>2021</v>
      </c>
      <c r="AB129" s="79"/>
    </row>
    <row r="130" spans="1:29" ht="27.6" customHeight="1" x14ac:dyDescent="0.25">
      <c r="A130" s="21" t="s">
        <v>10</v>
      </c>
      <c r="B130" s="21" t="s">
        <v>11</v>
      </c>
      <c r="C130" s="21" t="s">
        <v>12</v>
      </c>
      <c r="D130" s="21" t="s">
        <v>10</v>
      </c>
      <c r="E130" s="21" t="s">
        <v>20</v>
      </c>
      <c r="F130" s="21" t="s">
        <v>10</v>
      </c>
      <c r="G130" s="21" t="s">
        <v>19</v>
      </c>
      <c r="H130" s="21" t="s">
        <v>10</v>
      </c>
      <c r="I130" s="21" t="s">
        <v>18</v>
      </c>
      <c r="J130" s="21" t="s">
        <v>11</v>
      </c>
      <c r="K130" s="21" t="s">
        <v>10</v>
      </c>
      <c r="L130" s="21" t="s">
        <v>12</v>
      </c>
      <c r="M130" s="21" t="s">
        <v>11</v>
      </c>
      <c r="N130" s="21" t="s">
        <v>10</v>
      </c>
      <c r="O130" s="21" t="s">
        <v>18</v>
      </c>
      <c r="P130" s="21" t="s">
        <v>17</v>
      </c>
      <c r="Q130" s="21" t="s">
        <v>11</v>
      </c>
      <c r="R130" s="123"/>
      <c r="S130" s="126"/>
      <c r="T130" s="24">
        <v>2000</v>
      </c>
      <c r="U130" s="56"/>
      <c r="V130" s="56"/>
      <c r="W130" s="24"/>
      <c r="X130" s="24"/>
      <c r="Y130" s="24"/>
      <c r="Z130" s="25">
        <f t="shared" si="16"/>
        <v>2000</v>
      </c>
      <c r="AA130" s="23">
        <v>2021</v>
      </c>
      <c r="AB130" s="79"/>
    </row>
    <row r="131" spans="1:29" ht="30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7" t="s">
        <v>57</v>
      </c>
      <c r="S131" s="6" t="s">
        <v>39</v>
      </c>
      <c r="T131" s="61">
        <v>0.56100000000000005</v>
      </c>
      <c r="U131" s="113"/>
      <c r="V131" s="113"/>
      <c r="W131" s="61"/>
      <c r="X131" s="61"/>
      <c r="Y131" s="61"/>
      <c r="Z131" s="62">
        <f t="shared" si="16"/>
        <v>0.56100000000000005</v>
      </c>
      <c r="AA131" s="6">
        <v>2021</v>
      </c>
      <c r="AB131" s="78"/>
    </row>
    <row r="132" spans="1:29" ht="27.6" customHeight="1" x14ac:dyDescent="0.25">
      <c r="A132" s="21" t="s">
        <v>10</v>
      </c>
      <c r="B132" s="21" t="s">
        <v>11</v>
      </c>
      <c r="C132" s="21" t="s">
        <v>12</v>
      </c>
      <c r="D132" s="21" t="s">
        <v>10</v>
      </c>
      <c r="E132" s="21" t="s">
        <v>20</v>
      </c>
      <c r="F132" s="21" t="s">
        <v>10</v>
      </c>
      <c r="G132" s="21" t="s">
        <v>19</v>
      </c>
      <c r="H132" s="21" t="s">
        <v>10</v>
      </c>
      <c r="I132" s="21" t="s">
        <v>18</v>
      </c>
      <c r="J132" s="21" t="s">
        <v>11</v>
      </c>
      <c r="K132" s="21" t="s">
        <v>10</v>
      </c>
      <c r="L132" s="21" t="s">
        <v>12</v>
      </c>
      <c r="M132" s="21" t="s">
        <v>10</v>
      </c>
      <c r="N132" s="21" t="s">
        <v>10</v>
      </c>
      <c r="O132" s="21" t="s">
        <v>10</v>
      </c>
      <c r="P132" s="21" t="s">
        <v>10</v>
      </c>
      <c r="Q132" s="21" t="s">
        <v>10</v>
      </c>
      <c r="R132" s="121" t="s">
        <v>129</v>
      </c>
      <c r="S132" s="124" t="s">
        <v>33</v>
      </c>
      <c r="T132" s="25">
        <f>T133+T134</f>
        <v>10000</v>
      </c>
      <c r="U132" s="60"/>
      <c r="V132" s="60"/>
      <c r="W132" s="25"/>
      <c r="X132" s="25"/>
      <c r="Y132" s="25"/>
      <c r="Z132" s="25">
        <f t="shared" si="16"/>
        <v>10000</v>
      </c>
      <c r="AA132" s="23">
        <v>2021</v>
      </c>
      <c r="AB132" s="79"/>
      <c r="AC132" s="43"/>
    </row>
    <row r="133" spans="1:29" ht="27.6" customHeight="1" x14ac:dyDescent="0.25">
      <c r="A133" s="21" t="s">
        <v>10</v>
      </c>
      <c r="B133" s="21" t="s">
        <v>11</v>
      </c>
      <c r="C133" s="21" t="s">
        <v>12</v>
      </c>
      <c r="D133" s="21" t="s">
        <v>10</v>
      </c>
      <c r="E133" s="21" t="s">
        <v>20</v>
      </c>
      <c r="F133" s="21" t="s">
        <v>10</v>
      </c>
      <c r="G133" s="21" t="s">
        <v>19</v>
      </c>
      <c r="H133" s="21" t="s">
        <v>10</v>
      </c>
      <c r="I133" s="21" t="s">
        <v>18</v>
      </c>
      <c r="J133" s="21" t="s">
        <v>11</v>
      </c>
      <c r="K133" s="21" t="s">
        <v>10</v>
      </c>
      <c r="L133" s="21" t="s">
        <v>12</v>
      </c>
      <c r="M133" s="21" t="s">
        <v>40</v>
      </c>
      <c r="N133" s="21" t="s">
        <v>10</v>
      </c>
      <c r="O133" s="21" t="s">
        <v>18</v>
      </c>
      <c r="P133" s="21" t="s">
        <v>17</v>
      </c>
      <c r="Q133" s="21" t="s">
        <v>11</v>
      </c>
      <c r="R133" s="122"/>
      <c r="S133" s="125"/>
      <c r="T133" s="24">
        <v>2000</v>
      </c>
      <c r="U133" s="56"/>
      <c r="V133" s="56"/>
      <c r="W133" s="24"/>
      <c r="X133" s="24"/>
      <c r="Y133" s="24"/>
      <c r="Z133" s="25">
        <f t="shared" si="16"/>
        <v>2000</v>
      </c>
      <c r="AA133" s="23">
        <v>2021</v>
      </c>
      <c r="AB133" s="79"/>
    </row>
    <row r="134" spans="1:29" ht="27.6" customHeight="1" x14ac:dyDescent="0.25">
      <c r="A134" s="21" t="s">
        <v>10</v>
      </c>
      <c r="B134" s="21" t="s">
        <v>11</v>
      </c>
      <c r="C134" s="21" t="s">
        <v>12</v>
      </c>
      <c r="D134" s="21" t="s">
        <v>10</v>
      </c>
      <c r="E134" s="21" t="s">
        <v>20</v>
      </c>
      <c r="F134" s="21" t="s">
        <v>10</v>
      </c>
      <c r="G134" s="21" t="s">
        <v>19</v>
      </c>
      <c r="H134" s="21" t="s">
        <v>10</v>
      </c>
      <c r="I134" s="21" t="s">
        <v>18</v>
      </c>
      <c r="J134" s="21" t="s">
        <v>11</v>
      </c>
      <c r="K134" s="21" t="s">
        <v>10</v>
      </c>
      <c r="L134" s="21" t="s">
        <v>12</v>
      </c>
      <c r="M134" s="21" t="s">
        <v>11</v>
      </c>
      <c r="N134" s="21" t="s">
        <v>10</v>
      </c>
      <c r="O134" s="21" t="s">
        <v>18</v>
      </c>
      <c r="P134" s="21" t="s">
        <v>17</v>
      </c>
      <c r="Q134" s="21" t="s">
        <v>11</v>
      </c>
      <c r="R134" s="123"/>
      <c r="S134" s="126"/>
      <c r="T134" s="24">
        <v>8000</v>
      </c>
      <c r="U134" s="56"/>
      <c r="V134" s="56"/>
      <c r="W134" s="24"/>
      <c r="X134" s="24"/>
      <c r="Y134" s="24"/>
      <c r="Z134" s="25">
        <f t="shared" si="16"/>
        <v>8000</v>
      </c>
      <c r="AA134" s="23">
        <v>2021</v>
      </c>
      <c r="AB134" s="79"/>
    </row>
    <row r="135" spans="1:29" ht="30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7" t="s">
        <v>57</v>
      </c>
      <c r="S135" s="6" t="s">
        <v>39</v>
      </c>
      <c r="T135" s="61">
        <v>2.573</v>
      </c>
      <c r="U135" s="113"/>
      <c r="V135" s="113"/>
      <c r="W135" s="61"/>
      <c r="X135" s="61"/>
      <c r="Y135" s="61"/>
      <c r="Z135" s="62">
        <f t="shared" si="16"/>
        <v>2.573</v>
      </c>
      <c r="AA135" s="6">
        <v>2021</v>
      </c>
      <c r="AB135" s="78"/>
    </row>
    <row r="136" spans="1:29" ht="27.6" customHeight="1" x14ac:dyDescent="0.25">
      <c r="A136" s="21" t="s">
        <v>10</v>
      </c>
      <c r="B136" s="21" t="s">
        <v>11</v>
      </c>
      <c r="C136" s="21" t="s">
        <v>12</v>
      </c>
      <c r="D136" s="21" t="s">
        <v>10</v>
      </c>
      <c r="E136" s="21" t="s">
        <v>20</v>
      </c>
      <c r="F136" s="21" t="s">
        <v>10</v>
      </c>
      <c r="G136" s="21" t="s">
        <v>19</v>
      </c>
      <c r="H136" s="21" t="s">
        <v>10</v>
      </c>
      <c r="I136" s="21" t="s">
        <v>18</v>
      </c>
      <c r="J136" s="21" t="s">
        <v>11</v>
      </c>
      <c r="K136" s="21" t="s">
        <v>10</v>
      </c>
      <c r="L136" s="21" t="s">
        <v>12</v>
      </c>
      <c r="M136" s="21" t="s">
        <v>10</v>
      </c>
      <c r="N136" s="21" t="s">
        <v>10</v>
      </c>
      <c r="O136" s="21" t="s">
        <v>10</v>
      </c>
      <c r="P136" s="21" t="s">
        <v>10</v>
      </c>
      <c r="Q136" s="21" t="s">
        <v>10</v>
      </c>
      <c r="R136" s="121" t="s">
        <v>137</v>
      </c>
      <c r="S136" s="124" t="s">
        <v>33</v>
      </c>
      <c r="T136" s="25">
        <f>T137+T138</f>
        <v>6760.2</v>
      </c>
      <c r="U136" s="60"/>
      <c r="V136" s="60"/>
      <c r="W136" s="25"/>
      <c r="X136" s="25"/>
      <c r="Y136" s="25"/>
      <c r="Z136" s="25">
        <f t="shared" ref="Z136:Z140" si="17">T136+U136+V136+W136+X136+Y136</f>
        <v>6760.2</v>
      </c>
      <c r="AA136" s="23">
        <v>2021</v>
      </c>
      <c r="AB136" s="79"/>
      <c r="AC136" s="43"/>
    </row>
    <row r="137" spans="1:29" ht="27.6" customHeight="1" x14ac:dyDescent="0.25">
      <c r="A137" s="21" t="s">
        <v>10</v>
      </c>
      <c r="B137" s="21" t="s">
        <v>11</v>
      </c>
      <c r="C137" s="21" t="s">
        <v>12</v>
      </c>
      <c r="D137" s="21" t="s">
        <v>10</v>
      </c>
      <c r="E137" s="21" t="s">
        <v>20</v>
      </c>
      <c r="F137" s="21" t="s">
        <v>10</v>
      </c>
      <c r="G137" s="21" t="s">
        <v>19</v>
      </c>
      <c r="H137" s="21" t="s">
        <v>10</v>
      </c>
      <c r="I137" s="21" t="s">
        <v>18</v>
      </c>
      <c r="J137" s="21" t="s">
        <v>11</v>
      </c>
      <c r="K137" s="21" t="s">
        <v>10</v>
      </c>
      <c r="L137" s="21" t="s">
        <v>12</v>
      </c>
      <c r="M137" s="21" t="s">
        <v>40</v>
      </c>
      <c r="N137" s="21" t="s">
        <v>10</v>
      </c>
      <c r="O137" s="21" t="s">
        <v>18</v>
      </c>
      <c r="P137" s="21" t="s">
        <v>17</v>
      </c>
      <c r="Q137" s="21" t="s">
        <v>11</v>
      </c>
      <c r="R137" s="122"/>
      <c r="S137" s="125"/>
      <c r="T137" s="24">
        <f>1690.1-1690.1</f>
        <v>0</v>
      </c>
      <c r="U137" s="56"/>
      <c r="V137" s="56"/>
      <c r="W137" s="24"/>
      <c r="X137" s="24"/>
      <c r="Y137" s="24"/>
      <c r="Z137" s="25">
        <f t="shared" si="17"/>
        <v>0</v>
      </c>
      <c r="AA137" s="23">
        <v>2021</v>
      </c>
      <c r="AB137" s="79"/>
    </row>
    <row r="138" spans="1:29" ht="27.6" customHeight="1" x14ac:dyDescent="0.25">
      <c r="A138" s="21" t="s">
        <v>10</v>
      </c>
      <c r="B138" s="21" t="s">
        <v>11</v>
      </c>
      <c r="C138" s="21" t="s">
        <v>12</v>
      </c>
      <c r="D138" s="21" t="s">
        <v>10</v>
      </c>
      <c r="E138" s="21" t="s">
        <v>20</v>
      </c>
      <c r="F138" s="21" t="s">
        <v>10</v>
      </c>
      <c r="G138" s="21" t="s">
        <v>19</v>
      </c>
      <c r="H138" s="21" t="s">
        <v>10</v>
      </c>
      <c r="I138" s="21" t="s">
        <v>18</v>
      </c>
      <c r="J138" s="21" t="s">
        <v>11</v>
      </c>
      <c r="K138" s="21" t="s">
        <v>10</v>
      </c>
      <c r="L138" s="21" t="s">
        <v>12</v>
      </c>
      <c r="M138" s="21" t="s">
        <v>11</v>
      </c>
      <c r="N138" s="21" t="s">
        <v>10</v>
      </c>
      <c r="O138" s="21" t="s">
        <v>18</v>
      </c>
      <c r="P138" s="21" t="s">
        <v>17</v>
      </c>
      <c r="Q138" s="21" t="s">
        <v>11</v>
      </c>
      <c r="R138" s="123"/>
      <c r="S138" s="126"/>
      <c r="T138" s="24">
        <v>6760.2</v>
      </c>
      <c r="U138" s="56"/>
      <c r="V138" s="56"/>
      <c r="W138" s="24"/>
      <c r="X138" s="24"/>
      <c r="Y138" s="24"/>
      <c r="Z138" s="25">
        <f t="shared" si="17"/>
        <v>6760.2</v>
      </c>
      <c r="AA138" s="23">
        <v>2021</v>
      </c>
      <c r="AB138" s="79"/>
    </row>
    <row r="139" spans="1:29" ht="30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7" t="s">
        <v>108</v>
      </c>
      <c r="S139" s="6" t="s">
        <v>2</v>
      </c>
      <c r="T139" s="61">
        <v>0.24199999999999999</v>
      </c>
      <c r="U139" s="113"/>
      <c r="V139" s="113"/>
      <c r="W139" s="61"/>
      <c r="X139" s="61"/>
      <c r="Y139" s="61"/>
      <c r="Z139" s="62">
        <f t="shared" si="17"/>
        <v>0.24199999999999999</v>
      </c>
      <c r="AA139" s="6">
        <v>2021</v>
      </c>
      <c r="AB139" s="78"/>
    </row>
    <row r="140" spans="1:29" ht="30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7" t="s">
        <v>123</v>
      </c>
      <c r="S140" s="6" t="s">
        <v>39</v>
      </c>
      <c r="T140" s="61">
        <v>0.48399999999999999</v>
      </c>
      <c r="U140" s="113"/>
      <c r="V140" s="113"/>
      <c r="W140" s="61"/>
      <c r="X140" s="61"/>
      <c r="Y140" s="61"/>
      <c r="Z140" s="62">
        <f t="shared" si="17"/>
        <v>0.48399999999999999</v>
      </c>
      <c r="AA140" s="6">
        <v>2021</v>
      </c>
      <c r="AB140" s="78"/>
    </row>
    <row r="141" spans="1:29" ht="27.6" customHeight="1" x14ac:dyDescent="0.25">
      <c r="A141" s="21" t="s">
        <v>10</v>
      </c>
      <c r="B141" s="21" t="s">
        <v>11</v>
      </c>
      <c r="C141" s="21" t="s">
        <v>12</v>
      </c>
      <c r="D141" s="21" t="s">
        <v>10</v>
      </c>
      <c r="E141" s="21" t="s">
        <v>20</v>
      </c>
      <c r="F141" s="21" t="s">
        <v>10</v>
      </c>
      <c r="G141" s="21" t="s">
        <v>19</v>
      </c>
      <c r="H141" s="21" t="s">
        <v>10</v>
      </c>
      <c r="I141" s="21" t="s">
        <v>18</v>
      </c>
      <c r="J141" s="21" t="s">
        <v>11</v>
      </c>
      <c r="K141" s="21" t="s">
        <v>10</v>
      </c>
      <c r="L141" s="21" t="s">
        <v>12</v>
      </c>
      <c r="M141" s="21" t="s">
        <v>10</v>
      </c>
      <c r="N141" s="21" t="s">
        <v>10</v>
      </c>
      <c r="O141" s="21" t="s">
        <v>10</v>
      </c>
      <c r="P141" s="21" t="s">
        <v>10</v>
      </c>
      <c r="Q141" s="21" t="s">
        <v>10</v>
      </c>
      <c r="R141" s="121" t="s">
        <v>140</v>
      </c>
      <c r="S141" s="124" t="s">
        <v>33</v>
      </c>
      <c r="T141" s="25">
        <f>T142+T143</f>
        <v>33611.9</v>
      </c>
      <c r="U141" s="60"/>
      <c r="V141" s="60"/>
      <c r="W141" s="25"/>
      <c r="X141" s="25"/>
      <c r="Y141" s="25"/>
      <c r="Z141" s="25">
        <f t="shared" ref="Z141:Z145" si="18">T141+U141+V141+W141+X141+Y141</f>
        <v>33611.9</v>
      </c>
      <c r="AA141" s="23">
        <v>2021</v>
      </c>
      <c r="AB141" s="79"/>
      <c r="AC141" s="43"/>
    </row>
    <row r="142" spans="1:29" ht="27.6" customHeight="1" x14ac:dyDescent="0.25">
      <c r="A142" s="21" t="s">
        <v>10</v>
      </c>
      <c r="B142" s="21" t="s">
        <v>11</v>
      </c>
      <c r="C142" s="21" t="s">
        <v>12</v>
      </c>
      <c r="D142" s="21" t="s">
        <v>10</v>
      </c>
      <c r="E142" s="21" t="s">
        <v>20</v>
      </c>
      <c r="F142" s="21" t="s">
        <v>10</v>
      </c>
      <c r="G142" s="21" t="s">
        <v>19</v>
      </c>
      <c r="H142" s="21" t="s">
        <v>10</v>
      </c>
      <c r="I142" s="21" t="s">
        <v>18</v>
      </c>
      <c r="J142" s="21" t="s">
        <v>11</v>
      </c>
      <c r="K142" s="21" t="s">
        <v>10</v>
      </c>
      <c r="L142" s="21" t="s">
        <v>12</v>
      </c>
      <c r="M142" s="21" t="s">
        <v>40</v>
      </c>
      <c r="N142" s="21" t="s">
        <v>10</v>
      </c>
      <c r="O142" s="21" t="s">
        <v>18</v>
      </c>
      <c r="P142" s="21" t="s">
        <v>17</v>
      </c>
      <c r="Q142" s="21" t="s">
        <v>11</v>
      </c>
      <c r="R142" s="122"/>
      <c r="S142" s="125"/>
      <c r="T142" s="24">
        <f>7410.7-3441.6</f>
        <v>3969.1</v>
      </c>
      <c r="U142" s="56"/>
      <c r="V142" s="56"/>
      <c r="W142" s="24"/>
      <c r="X142" s="24"/>
      <c r="Y142" s="24"/>
      <c r="Z142" s="25">
        <f t="shared" si="18"/>
        <v>3969.1</v>
      </c>
      <c r="AA142" s="23">
        <v>2021</v>
      </c>
      <c r="AB142" s="79"/>
    </row>
    <row r="143" spans="1:29" ht="27.6" customHeight="1" x14ac:dyDescent="0.25">
      <c r="A143" s="21" t="s">
        <v>10</v>
      </c>
      <c r="B143" s="21" t="s">
        <v>11</v>
      </c>
      <c r="C143" s="21" t="s">
        <v>12</v>
      </c>
      <c r="D143" s="21" t="s">
        <v>10</v>
      </c>
      <c r="E143" s="21" t="s">
        <v>20</v>
      </c>
      <c r="F143" s="21" t="s">
        <v>10</v>
      </c>
      <c r="G143" s="21" t="s">
        <v>19</v>
      </c>
      <c r="H143" s="21" t="s">
        <v>10</v>
      </c>
      <c r="I143" s="21" t="s">
        <v>18</v>
      </c>
      <c r="J143" s="21" t="s">
        <v>11</v>
      </c>
      <c r="K143" s="21" t="s">
        <v>10</v>
      </c>
      <c r="L143" s="21" t="s">
        <v>12</v>
      </c>
      <c r="M143" s="21" t="s">
        <v>11</v>
      </c>
      <c r="N143" s="21" t="s">
        <v>10</v>
      </c>
      <c r="O143" s="21" t="s">
        <v>18</v>
      </c>
      <c r="P143" s="21" t="s">
        <v>17</v>
      </c>
      <c r="Q143" s="21" t="s">
        <v>11</v>
      </c>
      <c r="R143" s="123"/>
      <c r="S143" s="126"/>
      <c r="T143" s="24">
        <v>29642.799999999999</v>
      </c>
      <c r="U143" s="56"/>
      <c r="V143" s="56"/>
      <c r="W143" s="24"/>
      <c r="X143" s="24"/>
      <c r="Y143" s="24"/>
      <c r="Z143" s="25">
        <f t="shared" si="18"/>
        <v>29642.799999999999</v>
      </c>
      <c r="AA143" s="23">
        <v>2021</v>
      </c>
      <c r="AB143" s="79"/>
    </row>
    <row r="144" spans="1:29" ht="30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7" t="s">
        <v>108</v>
      </c>
      <c r="S144" s="6" t="s">
        <v>2</v>
      </c>
      <c r="T144" s="61">
        <v>0.32400000000000001</v>
      </c>
      <c r="U144" s="113"/>
      <c r="V144" s="113"/>
      <c r="W144" s="61"/>
      <c r="X144" s="61"/>
      <c r="Y144" s="61"/>
      <c r="Z144" s="62">
        <f t="shared" si="18"/>
        <v>0.32400000000000001</v>
      </c>
      <c r="AA144" s="6">
        <v>2021</v>
      </c>
      <c r="AB144" s="78"/>
    </row>
    <row r="145" spans="1:31" ht="40.1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7" t="s">
        <v>123</v>
      </c>
      <c r="S145" s="6" t="s">
        <v>39</v>
      </c>
      <c r="T145" s="61">
        <v>0.67500000000000004</v>
      </c>
      <c r="U145" s="113"/>
      <c r="V145" s="113"/>
      <c r="W145" s="61"/>
      <c r="X145" s="61"/>
      <c r="Y145" s="61"/>
      <c r="Z145" s="62">
        <f t="shared" si="18"/>
        <v>0.67500000000000004</v>
      </c>
      <c r="AA145" s="6">
        <v>2021</v>
      </c>
      <c r="AB145" s="78"/>
    </row>
    <row r="146" spans="1:31" s="16" customFormat="1" ht="26.45" customHeight="1" x14ac:dyDescent="0.25">
      <c r="A146" s="21" t="s">
        <v>10</v>
      </c>
      <c r="B146" s="21" t="s">
        <v>11</v>
      </c>
      <c r="C146" s="21" t="s">
        <v>12</v>
      </c>
      <c r="D146" s="21" t="s">
        <v>10</v>
      </c>
      <c r="E146" s="21" t="s">
        <v>20</v>
      </c>
      <c r="F146" s="21" t="s">
        <v>10</v>
      </c>
      <c r="G146" s="21" t="s">
        <v>19</v>
      </c>
      <c r="H146" s="21" t="s">
        <v>10</v>
      </c>
      <c r="I146" s="21" t="s">
        <v>18</v>
      </c>
      <c r="J146" s="21" t="s">
        <v>11</v>
      </c>
      <c r="K146" s="21" t="s">
        <v>10</v>
      </c>
      <c r="L146" s="21" t="s">
        <v>12</v>
      </c>
      <c r="M146" s="21" t="s">
        <v>10</v>
      </c>
      <c r="N146" s="21" t="s">
        <v>10</v>
      </c>
      <c r="O146" s="21" t="s">
        <v>10</v>
      </c>
      <c r="P146" s="21" t="s">
        <v>10</v>
      </c>
      <c r="Q146" s="21" t="s">
        <v>10</v>
      </c>
      <c r="R146" s="127" t="s">
        <v>148</v>
      </c>
      <c r="S146" s="124" t="s">
        <v>33</v>
      </c>
      <c r="T146" s="25"/>
      <c r="U146" s="25">
        <f>U147+U148</f>
        <v>29404.9</v>
      </c>
      <c r="V146" s="60"/>
      <c r="W146" s="50"/>
      <c r="X146" s="50"/>
      <c r="Y146" s="25"/>
      <c r="Z146" s="25">
        <f>Z147+Z148</f>
        <v>29404.9</v>
      </c>
      <c r="AA146" s="23">
        <v>2022</v>
      </c>
      <c r="AB146" s="74"/>
      <c r="AC146" s="64"/>
      <c r="AD146" s="65"/>
      <c r="AE146" s="66"/>
    </row>
    <row r="147" spans="1:31" s="16" customFormat="1" ht="26.45" customHeight="1" x14ac:dyDescent="0.25">
      <c r="A147" s="21" t="s">
        <v>10</v>
      </c>
      <c r="B147" s="21" t="s">
        <v>11</v>
      </c>
      <c r="C147" s="21" t="s">
        <v>12</v>
      </c>
      <c r="D147" s="21" t="s">
        <v>10</v>
      </c>
      <c r="E147" s="21" t="s">
        <v>20</v>
      </c>
      <c r="F147" s="21" t="s">
        <v>10</v>
      </c>
      <c r="G147" s="21" t="s">
        <v>19</v>
      </c>
      <c r="H147" s="21" t="s">
        <v>10</v>
      </c>
      <c r="I147" s="21" t="s">
        <v>18</v>
      </c>
      <c r="J147" s="21" t="s">
        <v>11</v>
      </c>
      <c r="K147" s="21" t="s">
        <v>10</v>
      </c>
      <c r="L147" s="21" t="s">
        <v>12</v>
      </c>
      <c r="M147" s="21" t="s">
        <v>40</v>
      </c>
      <c r="N147" s="21" t="s">
        <v>10</v>
      </c>
      <c r="O147" s="21" t="s">
        <v>18</v>
      </c>
      <c r="P147" s="21" t="s">
        <v>17</v>
      </c>
      <c r="Q147" s="21" t="s">
        <v>11</v>
      </c>
      <c r="R147" s="128"/>
      <c r="S147" s="125"/>
      <c r="T147" s="25"/>
      <c r="U147" s="24">
        <f>6062.9-181.9</f>
        <v>5881</v>
      </c>
      <c r="V147" s="56"/>
      <c r="W147" s="24"/>
      <c r="X147" s="24"/>
      <c r="Y147" s="25"/>
      <c r="Z147" s="25">
        <f>U147+V147</f>
        <v>5881</v>
      </c>
      <c r="AA147" s="23">
        <v>2022</v>
      </c>
      <c r="AB147" s="74"/>
      <c r="AC147" s="64"/>
      <c r="AD147" s="65"/>
      <c r="AE147" s="66"/>
    </row>
    <row r="148" spans="1:31" s="16" customFormat="1" ht="27" customHeight="1" x14ac:dyDescent="0.25">
      <c r="A148" s="21" t="s">
        <v>10</v>
      </c>
      <c r="B148" s="21" t="s">
        <v>11</v>
      </c>
      <c r="C148" s="21" t="s">
        <v>12</v>
      </c>
      <c r="D148" s="21" t="s">
        <v>10</v>
      </c>
      <c r="E148" s="21" t="s">
        <v>20</v>
      </c>
      <c r="F148" s="21" t="s">
        <v>10</v>
      </c>
      <c r="G148" s="21" t="s">
        <v>19</v>
      </c>
      <c r="H148" s="21" t="s">
        <v>10</v>
      </c>
      <c r="I148" s="21" t="s">
        <v>18</v>
      </c>
      <c r="J148" s="21" t="s">
        <v>11</v>
      </c>
      <c r="K148" s="21" t="s">
        <v>10</v>
      </c>
      <c r="L148" s="21" t="s">
        <v>12</v>
      </c>
      <c r="M148" s="21" t="s">
        <v>11</v>
      </c>
      <c r="N148" s="21" t="s">
        <v>10</v>
      </c>
      <c r="O148" s="21" t="s">
        <v>18</v>
      </c>
      <c r="P148" s="21" t="s">
        <v>17</v>
      </c>
      <c r="Q148" s="21" t="s">
        <v>11</v>
      </c>
      <c r="R148" s="129"/>
      <c r="S148" s="126"/>
      <c r="T148" s="25"/>
      <c r="U148" s="24">
        <f>24251.4-727.5</f>
        <v>23523.9</v>
      </c>
      <c r="V148" s="114"/>
      <c r="W148" s="50"/>
      <c r="X148" s="50"/>
      <c r="Y148" s="25"/>
      <c r="Z148" s="25">
        <f>U148+V148</f>
        <v>23523.9</v>
      </c>
      <c r="AA148" s="23">
        <v>2022</v>
      </c>
      <c r="AB148" s="74"/>
      <c r="AC148" s="64"/>
      <c r="AD148" s="65"/>
      <c r="AE148" s="66"/>
    </row>
    <row r="149" spans="1:31" ht="41.4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7" t="s">
        <v>57</v>
      </c>
      <c r="S149" s="6" t="s">
        <v>39</v>
      </c>
      <c r="T149" s="61"/>
      <c r="U149" s="61">
        <v>2.7839999999999998</v>
      </c>
      <c r="V149" s="113"/>
      <c r="W149" s="61"/>
      <c r="X149" s="61"/>
      <c r="Y149" s="61"/>
      <c r="Z149" s="62">
        <f>U149</f>
        <v>2.7839999999999998</v>
      </c>
      <c r="AA149" s="6">
        <v>2022</v>
      </c>
      <c r="AB149" s="78"/>
    </row>
    <row r="150" spans="1:31" s="16" customFormat="1" ht="26.45" customHeight="1" x14ac:dyDescent="0.25">
      <c r="A150" s="21" t="s">
        <v>10</v>
      </c>
      <c r="B150" s="21" t="s">
        <v>11</v>
      </c>
      <c r="C150" s="21" t="s">
        <v>12</v>
      </c>
      <c r="D150" s="21" t="s">
        <v>10</v>
      </c>
      <c r="E150" s="21" t="s">
        <v>20</v>
      </c>
      <c r="F150" s="21" t="s">
        <v>10</v>
      </c>
      <c r="G150" s="21" t="s">
        <v>19</v>
      </c>
      <c r="H150" s="21" t="s">
        <v>10</v>
      </c>
      <c r="I150" s="21" t="s">
        <v>18</v>
      </c>
      <c r="J150" s="21" t="s">
        <v>11</v>
      </c>
      <c r="K150" s="21" t="s">
        <v>10</v>
      </c>
      <c r="L150" s="21" t="s">
        <v>12</v>
      </c>
      <c r="M150" s="21" t="s">
        <v>10</v>
      </c>
      <c r="N150" s="21" t="s">
        <v>10</v>
      </c>
      <c r="O150" s="21" t="s">
        <v>10</v>
      </c>
      <c r="P150" s="21" t="s">
        <v>10</v>
      </c>
      <c r="Q150" s="21" t="s">
        <v>10</v>
      </c>
      <c r="R150" s="127" t="s">
        <v>149</v>
      </c>
      <c r="S150" s="124" t="s">
        <v>33</v>
      </c>
      <c r="T150" s="25"/>
      <c r="U150" s="25">
        <f>U151+U152</f>
        <v>18539.3</v>
      </c>
      <c r="V150" s="60"/>
      <c r="W150" s="50"/>
      <c r="X150" s="50"/>
      <c r="Y150" s="25"/>
      <c r="Z150" s="25">
        <f>Z151+Z152</f>
        <v>18539.3</v>
      </c>
      <c r="AA150" s="23">
        <v>2022</v>
      </c>
      <c r="AB150" s="74"/>
      <c r="AC150" s="64"/>
      <c r="AD150" s="65"/>
      <c r="AE150" s="66"/>
    </row>
    <row r="151" spans="1:31" s="16" customFormat="1" ht="26.45" customHeight="1" x14ac:dyDescent="0.25">
      <c r="A151" s="21" t="s">
        <v>10</v>
      </c>
      <c r="B151" s="21" t="s">
        <v>11</v>
      </c>
      <c r="C151" s="21" t="s">
        <v>12</v>
      </c>
      <c r="D151" s="21" t="s">
        <v>10</v>
      </c>
      <c r="E151" s="21" t="s">
        <v>20</v>
      </c>
      <c r="F151" s="21" t="s">
        <v>10</v>
      </c>
      <c r="G151" s="21" t="s">
        <v>19</v>
      </c>
      <c r="H151" s="21" t="s">
        <v>10</v>
      </c>
      <c r="I151" s="21" t="s">
        <v>18</v>
      </c>
      <c r="J151" s="21" t="s">
        <v>11</v>
      </c>
      <c r="K151" s="21" t="s">
        <v>10</v>
      </c>
      <c r="L151" s="21" t="s">
        <v>12</v>
      </c>
      <c r="M151" s="21" t="s">
        <v>40</v>
      </c>
      <c r="N151" s="21" t="s">
        <v>10</v>
      </c>
      <c r="O151" s="21" t="s">
        <v>18</v>
      </c>
      <c r="P151" s="21" t="s">
        <v>17</v>
      </c>
      <c r="Q151" s="21" t="s">
        <v>11</v>
      </c>
      <c r="R151" s="128"/>
      <c r="S151" s="125"/>
      <c r="T151" s="25"/>
      <c r="U151" s="24">
        <f>3822.6-114.7</f>
        <v>3707.9</v>
      </c>
      <c r="V151" s="56"/>
      <c r="W151" s="24"/>
      <c r="X151" s="24"/>
      <c r="Y151" s="25"/>
      <c r="Z151" s="25">
        <f>U151+V151</f>
        <v>3707.9</v>
      </c>
      <c r="AA151" s="23">
        <v>2022</v>
      </c>
      <c r="AB151" s="74"/>
      <c r="AC151" s="64"/>
      <c r="AD151" s="65"/>
      <c r="AE151" s="66"/>
    </row>
    <row r="152" spans="1:31" s="16" customFormat="1" ht="27" customHeight="1" x14ac:dyDescent="0.25">
      <c r="A152" s="21" t="s">
        <v>10</v>
      </c>
      <c r="B152" s="21" t="s">
        <v>11</v>
      </c>
      <c r="C152" s="21" t="s">
        <v>12</v>
      </c>
      <c r="D152" s="21" t="s">
        <v>10</v>
      </c>
      <c r="E152" s="21" t="s">
        <v>20</v>
      </c>
      <c r="F152" s="21" t="s">
        <v>10</v>
      </c>
      <c r="G152" s="21" t="s">
        <v>19</v>
      </c>
      <c r="H152" s="21" t="s">
        <v>10</v>
      </c>
      <c r="I152" s="21" t="s">
        <v>18</v>
      </c>
      <c r="J152" s="21" t="s">
        <v>11</v>
      </c>
      <c r="K152" s="21" t="s">
        <v>10</v>
      </c>
      <c r="L152" s="21" t="s">
        <v>12</v>
      </c>
      <c r="M152" s="21" t="s">
        <v>11</v>
      </c>
      <c r="N152" s="21" t="s">
        <v>10</v>
      </c>
      <c r="O152" s="21" t="s">
        <v>18</v>
      </c>
      <c r="P152" s="21" t="s">
        <v>17</v>
      </c>
      <c r="Q152" s="21" t="s">
        <v>11</v>
      </c>
      <c r="R152" s="129"/>
      <c r="S152" s="126"/>
      <c r="T152" s="25"/>
      <c r="U152" s="24">
        <f>15290.1-458.7</f>
        <v>14831.4</v>
      </c>
      <c r="V152" s="114"/>
      <c r="W152" s="50"/>
      <c r="X152" s="50"/>
      <c r="Y152" s="25"/>
      <c r="Z152" s="25">
        <f>U152+V152</f>
        <v>14831.4</v>
      </c>
      <c r="AA152" s="23">
        <v>2022</v>
      </c>
      <c r="AB152" s="74"/>
      <c r="AC152" s="64"/>
      <c r="AD152" s="65"/>
      <c r="AE152" s="66"/>
    </row>
    <row r="153" spans="1:31" ht="40.1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7" t="s">
        <v>57</v>
      </c>
      <c r="S153" s="6" t="s">
        <v>39</v>
      </c>
      <c r="T153" s="61"/>
      <c r="U153" s="61">
        <v>1.746</v>
      </c>
      <c r="V153" s="113"/>
      <c r="W153" s="61"/>
      <c r="X153" s="61"/>
      <c r="Y153" s="61"/>
      <c r="Z153" s="62">
        <f>U153</f>
        <v>1.746</v>
      </c>
      <c r="AA153" s="6">
        <v>2022</v>
      </c>
      <c r="AB153" s="78"/>
    </row>
    <row r="154" spans="1:31" s="16" customFormat="1" ht="33" customHeight="1" x14ac:dyDescent="0.25">
      <c r="A154" s="21" t="s">
        <v>10</v>
      </c>
      <c r="B154" s="21" t="s">
        <v>11</v>
      </c>
      <c r="C154" s="21" t="s">
        <v>12</v>
      </c>
      <c r="D154" s="21" t="s">
        <v>10</v>
      </c>
      <c r="E154" s="21" t="s">
        <v>20</v>
      </c>
      <c r="F154" s="21" t="s">
        <v>10</v>
      </c>
      <c r="G154" s="21" t="s">
        <v>19</v>
      </c>
      <c r="H154" s="21" t="s">
        <v>10</v>
      </c>
      <c r="I154" s="21" t="s">
        <v>18</v>
      </c>
      <c r="J154" s="21" t="s">
        <v>11</v>
      </c>
      <c r="K154" s="21" t="s">
        <v>10</v>
      </c>
      <c r="L154" s="21" t="s">
        <v>12</v>
      </c>
      <c r="M154" s="21" t="s">
        <v>10</v>
      </c>
      <c r="N154" s="21" t="s">
        <v>10</v>
      </c>
      <c r="O154" s="21" t="s">
        <v>10</v>
      </c>
      <c r="P154" s="21" t="s">
        <v>10</v>
      </c>
      <c r="Q154" s="21" t="s">
        <v>10</v>
      </c>
      <c r="R154" s="127" t="s">
        <v>150</v>
      </c>
      <c r="S154" s="124" t="s">
        <v>33</v>
      </c>
      <c r="T154" s="25"/>
      <c r="U154" s="25">
        <f>U155+U156</f>
        <v>17978.5</v>
      </c>
      <c r="V154" s="60"/>
      <c r="W154" s="50"/>
      <c r="X154" s="50"/>
      <c r="Y154" s="25"/>
      <c r="Z154" s="25">
        <f>Z155+Z156</f>
        <v>17978.5</v>
      </c>
      <c r="AA154" s="23">
        <v>2022</v>
      </c>
      <c r="AB154" s="74"/>
      <c r="AC154" s="64"/>
      <c r="AD154" s="65"/>
      <c r="AE154" s="66"/>
    </row>
    <row r="155" spans="1:31" s="16" customFormat="1" ht="33" customHeight="1" x14ac:dyDescent="0.25">
      <c r="A155" s="21" t="s">
        <v>10</v>
      </c>
      <c r="B155" s="21" t="s">
        <v>11</v>
      </c>
      <c r="C155" s="21" t="s">
        <v>12</v>
      </c>
      <c r="D155" s="21" t="s">
        <v>10</v>
      </c>
      <c r="E155" s="21" t="s">
        <v>20</v>
      </c>
      <c r="F155" s="21" t="s">
        <v>10</v>
      </c>
      <c r="G155" s="21" t="s">
        <v>19</v>
      </c>
      <c r="H155" s="21" t="s">
        <v>10</v>
      </c>
      <c r="I155" s="21" t="s">
        <v>18</v>
      </c>
      <c r="J155" s="21" t="s">
        <v>11</v>
      </c>
      <c r="K155" s="21" t="s">
        <v>10</v>
      </c>
      <c r="L155" s="21" t="s">
        <v>12</v>
      </c>
      <c r="M155" s="21" t="s">
        <v>40</v>
      </c>
      <c r="N155" s="21" t="s">
        <v>10</v>
      </c>
      <c r="O155" s="21" t="s">
        <v>18</v>
      </c>
      <c r="P155" s="21" t="s">
        <v>17</v>
      </c>
      <c r="Q155" s="21" t="s">
        <v>11</v>
      </c>
      <c r="R155" s="128"/>
      <c r="S155" s="125"/>
      <c r="T155" s="25"/>
      <c r="U155" s="24">
        <f>4025-429.3</f>
        <v>3595.7</v>
      </c>
      <c r="V155" s="56"/>
      <c r="W155" s="24"/>
      <c r="X155" s="24"/>
      <c r="Y155" s="25"/>
      <c r="Z155" s="25">
        <f>U155+V155</f>
        <v>3595.7</v>
      </c>
      <c r="AA155" s="23">
        <v>2022</v>
      </c>
      <c r="AB155" s="74"/>
      <c r="AC155" s="64"/>
      <c r="AD155" s="65"/>
      <c r="AE155" s="66"/>
    </row>
    <row r="156" spans="1:31" s="16" customFormat="1" ht="32.450000000000003" customHeight="1" x14ac:dyDescent="0.25">
      <c r="A156" s="21" t="s">
        <v>10</v>
      </c>
      <c r="B156" s="21" t="s">
        <v>11</v>
      </c>
      <c r="C156" s="21" t="s">
        <v>12</v>
      </c>
      <c r="D156" s="21" t="s">
        <v>10</v>
      </c>
      <c r="E156" s="21" t="s">
        <v>20</v>
      </c>
      <c r="F156" s="21" t="s">
        <v>10</v>
      </c>
      <c r="G156" s="21" t="s">
        <v>19</v>
      </c>
      <c r="H156" s="21" t="s">
        <v>10</v>
      </c>
      <c r="I156" s="21" t="s">
        <v>18</v>
      </c>
      <c r="J156" s="21" t="s">
        <v>11</v>
      </c>
      <c r="K156" s="21" t="s">
        <v>10</v>
      </c>
      <c r="L156" s="21" t="s">
        <v>12</v>
      </c>
      <c r="M156" s="21" t="s">
        <v>11</v>
      </c>
      <c r="N156" s="21" t="s">
        <v>10</v>
      </c>
      <c r="O156" s="21" t="s">
        <v>18</v>
      </c>
      <c r="P156" s="21" t="s">
        <v>17</v>
      </c>
      <c r="Q156" s="21" t="s">
        <v>11</v>
      </c>
      <c r="R156" s="129"/>
      <c r="S156" s="126"/>
      <c r="T156" s="25"/>
      <c r="U156" s="24">
        <f>16100.6-1645.6-72.2</f>
        <v>14382.8</v>
      </c>
      <c r="V156" s="114"/>
      <c r="W156" s="50"/>
      <c r="X156" s="50"/>
      <c r="Y156" s="25"/>
      <c r="Z156" s="25">
        <f>U156+V156</f>
        <v>14382.8</v>
      </c>
      <c r="AA156" s="23">
        <v>2022</v>
      </c>
      <c r="AB156" s="74"/>
      <c r="AC156" s="64"/>
      <c r="AD156" s="65"/>
      <c r="AE156" s="66"/>
    </row>
    <row r="157" spans="1:31" ht="30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7" t="s">
        <v>57</v>
      </c>
      <c r="S157" s="6" t="s">
        <v>39</v>
      </c>
      <c r="T157" s="61"/>
      <c r="U157" s="61">
        <v>4.2629999999999999</v>
      </c>
      <c r="V157" s="113"/>
      <c r="W157" s="61"/>
      <c r="X157" s="61"/>
      <c r="Y157" s="61"/>
      <c r="Z157" s="62">
        <f>U157</f>
        <v>4.2629999999999999</v>
      </c>
      <c r="AA157" s="6">
        <v>2022</v>
      </c>
      <c r="AB157" s="78"/>
    </row>
    <row r="158" spans="1:31" s="16" customFormat="1" ht="26.45" customHeight="1" x14ac:dyDescent="0.25">
      <c r="A158" s="21" t="s">
        <v>10</v>
      </c>
      <c r="B158" s="21" t="s">
        <v>11</v>
      </c>
      <c r="C158" s="21" t="s">
        <v>12</v>
      </c>
      <c r="D158" s="21" t="s">
        <v>10</v>
      </c>
      <c r="E158" s="21" t="s">
        <v>20</v>
      </c>
      <c r="F158" s="21" t="s">
        <v>10</v>
      </c>
      <c r="G158" s="21" t="s">
        <v>19</v>
      </c>
      <c r="H158" s="21" t="s">
        <v>10</v>
      </c>
      <c r="I158" s="21" t="s">
        <v>18</v>
      </c>
      <c r="J158" s="21" t="s">
        <v>11</v>
      </c>
      <c r="K158" s="21" t="s">
        <v>10</v>
      </c>
      <c r="L158" s="21" t="s">
        <v>12</v>
      </c>
      <c r="M158" s="21" t="s">
        <v>10</v>
      </c>
      <c r="N158" s="21" t="s">
        <v>10</v>
      </c>
      <c r="O158" s="21" t="s">
        <v>10</v>
      </c>
      <c r="P158" s="21" t="s">
        <v>10</v>
      </c>
      <c r="Q158" s="21" t="s">
        <v>10</v>
      </c>
      <c r="R158" s="127" t="s">
        <v>151</v>
      </c>
      <c r="S158" s="124" t="s">
        <v>33</v>
      </c>
      <c r="T158" s="25"/>
      <c r="U158" s="25">
        <f>U159+U160</f>
        <v>10243.400000000001</v>
      </c>
      <c r="V158" s="60"/>
      <c r="W158" s="50"/>
      <c r="X158" s="50"/>
      <c r="Y158" s="25"/>
      <c r="Z158" s="25">
        <f>Z159+Z160</f>
        <v>10243.400000000001</v>
      </c>
      <c r="AA158" s="23">
        <v>2022</v>
      </c>
      <c r="AB158" s="74"/>
      <c r="AC158" s="64"/>
      <c r="AD158" s="65"/>
      <c r="AE158" s="66"/>
    </row>
    <row r="159" spans="1:31" s="16" customFormat="1" ht="26.45" customHeight="1" x14ac:dyDescent="0.25">
      <c r="A159" s="21" t="s">
        <v>10</v>
      </c>
      <c r="B159" s="21" t="s">
        <v>11</v>
      </c>
      <c r="C159" s="21" t="s">
        <v>12</v>
      </c>
      <c r="D159" s="21" t="s">
        <v>10</v>
      </c>
      <c r="E159" s="21" t="s">
        <v>20</v>
      </c>
      <c r="F159" s="21" t="s">
        <v>10</v>
      </c>
      <c r="G159" s="21" t="s">
        <v>19</v>
      </c>
      <c r="H159" s="21" t="s">
        <v>10</v>
      </c>
      <c r="I159" s="21" t="s">
        <v>18</v>
      </c>
      <c r="J159" s="21" t="s">
        <v>11</v>
      </c>
      <c r="K159" s="21" t="s">
        <v>10</v>
      </c>
      <c r="L159" s="21" t="s">
        <v>12</v>
      </c>
      <c r="M159" s="21" t="s">
        <v>40</v>
      </c>
      <c r="N159" s="21" t="s">
        <v>10</v>
      </c>
      <c r="O159" s="21" t="s">
        <v>18</v>
      </c>
      <c r="P159" s="21" t="s">
        <v>17</v>
      </c>
      <c r="Q159" s="21" t="s">
        <v>11</v>
      </c>
      <c r="R159" s="128"/>
      <c r="S159" s="125"/>
      <c r="T159" s="25"/>
      <c r="U159" s="24">
        <f>2658.7-610</f>
        <v>2048.6999999999998</v>
      </c>
      <c r="V159" s="56"/>
      <c r="W159" s="24"/>
      <c r="X159" s="24"/>
      <c r="Y159" s="25"/>
      <c r="Z159" s="25">
        <f>U159+V159</f>
        <v>2048.6999999999998</v>
      </c>
      <c r="AA159" s="23">
        <v>2022</v>
      </c>
      <c r="AB159" s="74"/>
      <c r="AC159" s="64"/>
      <c r="AD159" s="65"/>
      <c r="AE159" s="66"/>
    </row>
    <row r="160" spans="1:31" s="16" customFormat="1" ht="27" customHeight="1" x14ac:dyDescent="0.25">
      <c r="A160" s="21" t="s">
        <v>10</v>
      </c>
      <c r="B160" s="21" t="s">
        <v>11</v>
      </c>
      <c r="C160" s="21" t="s">
        <v>12</v>
      </c>
      <c r="D160" s="21" t="s">
        <v>10</v>
      </c>
      <c r="E160" s="21" t="s">
        <v>20</v>
      </c>
      <c r="F160" s="21" t="s">
        <v>10</v>
      </c>
      <c r="G160" s="21" t="s">
        <v>19</v>
      </c>
      <c r="H160" s="21" t="s">
        <v>10</v>
      </c>
      <c r="I160" s="21" t="s">
        <v>18</v>
      </c>
      <c r="J160" s="21" t="s">
        <v>11</v>
      </c>
      <c r="K160" s="21" t="s">
        <v>10</v>
      </c>
      <c r="L160" s="21" t="s">
        <v>12</v>
      </c>
      <c r="M160" s="21" t="s">
        <v>11</v>
      </c>
      <c r="N160" s="21" t="s">
        <v>10</v>
      </c>
      <c r="O160" s="21" t="s">
        <v>18</v>
      </c>
      <c r="P160" s="21" t="s">
        <v>17</v>
      </c>
      <c r="Q160" s="21" t="s">
        <v>11</v>
      </c>
      <c r="R160" s="129"/>
      <c r="S160" s="126"/>
      <c r="T160" s="25"/>
      <c r="U160" s="24">
        <f>10635-1161.4-1278.9</f>
        <v>8194.7000000000007</v>
      </c>
      <c r="V160" s="114"/>
      <c r="W160" s="50"/>
      <c r="X160" s="50"/>
      <c r="Y160" s="25"/>
      <c r="Z160" s="25">
        <f>U160+V160</f>
        <v>8194.7000000000007</v>
      </c>
      <c r="AA160" s="23">
        <v>2022</v>
      </c>
      <c r="AB160" s="74"/>
      <c r="AC160" s="64"/>
      <c r="AD160" s="65"/>
      <c r="AE160" s="66"/>
    </row>
    <row r="161" spans="1:31" ht="30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7" t="s">
        <v>57</v>
      </c>
      <c r="S161" s="6" t="s">
        <v>39</v>
      </c>
      <c r="T161" s="61"/>
      <c r="U161" s="61">
        <v>2.1360000000000001</v>
      </c>
      <c r="V161" s="113"/>
      <c r="W161" s="61"/>
      <c r="X161" s="61"/>
      <c r="Y161" s="61"/>
      <c r="Z161" s="62">
        <f>U161</f>
        <v>2.1360000000000001</v>
      </c>
      <c r="AA161" s="6">
        <v>2022</v>
      </c>
      <c r="AB161" s="78"/>
    </row>
    <row r="162" spans="1:31" s="16" customFormat="1" ht="31.15" customHeight="1" x14ac:dyDescent="0.25">
      <c r="A162" s="21" t="s">
        <v>10</v>
      </c>
      <c r="B162" s="21" t="s">
        <v>11</v>
      </c>
      <c r="C162" s="21" t="s">
        <v>12</v>
      </c>
      <c r="D162" s="21" t="s">
        <v>10</v>
      </c>
      <c r="E162" s="21" t="s">
        <v>20</v>
      </c>
      <c r="F162" s="21" t="s">
        <v>10</v>
      </c>
      <c r="G162" s="21" t="s">
        <v>19</v>
      </c>
      <c r="H162" s="21" t="s">
        <v>10</v>
      </c>
      <c r="I162" s="21" t="s">
        <v>18</v>
      </c>
      <c r="J162" s="21" t="s">
        <v>11</v>
      </c>
      <c r="K162" s="21" t="s">
        <v>10</v>
      </c>
      <c r="L162" s="21" t="s">
        <v>12</v>
      </c>
      <c r="M162" s="21" t="s">
        <v>10</v>
      </c>
      <c r="N162" s="21" t="s">
        <v>10</v>
      </c>
      <c r="O162" s="21" t="s">
        <v>10</v>
      </c>
      <c r="P162" s="21" t="s">
        <v>10</v>
      </c>
      <c r="Q162" s="21" t="s">
        <v>10</v>
      </c>
      <c r="R162" s="127" t="s">
        <v>152</v>
      </c>
      <c r="S162" s="124" t="s">
        <v>33</v>
      </c>
      <c r="T162" s="25"/>
      <c r="U162" s="25">
        <f>U163+U164</f>
        <v>7617.4999999999991</v>
      </c>
      <c r="V162" s="60"/>
      <c r="W162" s="50"/>
      <c r="X162" s="50"/>
      <c r="Y162" s="25"/>
      <c r="Z162" s="25">
        <f>Z163+Z164</f>
        <v>7617.4999999999991</v>
      </c>
      <c r="AA162" s="23">
        <v>2022</v>
      </c>
      <c r="AB162" s="74"/>
      <c r="AC162" s="64"/>
      <c r="AD162" s="65"/>
      <c r="AE162" s="66"/>
    </row>
    <row r="163" spans="1:31" s="16" customFormat="1" ht="26.45" customHeight="1" x14ac:dyDescent="0.25">
      <c r="A163" s="21" t="s">
        <v>10</v>
      </c>
      <c r="B163" s="21" t="s">
        <v>11</v>
      </c>
      <c r="C163" s="21" t="s">
        <v>12</v>
      </c>
      <c r="D163" s="21" t="s">
        <v>10</v>
      </c>
      <c r="E163" s="21" t="s">
        <v>20</v>
      </c>
      <c r="F163" s="21" t="s">
        <v>10</v>
      </c>
      <c r="G163" s="21" t="s">
        <v>19</v>
      </c>
      <c r="H163" s="21" t="s">
        <v>10</v>
      </c>
      <c r="I163" s="21" t="s">
        <v>18</v>
      </c>
      <c r="J163" s="21" t="s">
        <v>11</v>
      </c>
      <c r="K163" s="21" t="s">
        <v>10</v>
      </c>
      <c r="L163" s="21" t="s">
        <v>12</v>
      </c>
      <c r="M163" s="21" t="s">
        <v>40</v>
      </c>
      <c r="N163" s="21" t="s">
        <v>10</v>
      </c>
      <c r="O163" s="21" t="s">
        <v>18</v>
      </c>
      <c r="P163" s="21" t="s">
        <v>17</v>
      </c>
      <c r="Q163" s="21" t="s">
        <v>11</v>
      </c>
      <c r="R163" s="128"/>
      <c r="S163" s="125"/>
      <c r="T163" s="25"/>
      <c r="U163" s="24">
        <f>1577.7-64.5</f>
        <v>1513.2</v>
      </c>
      <c r="V163" s="56"/>
      <c r="W163" s="24"/>
      <c r="X163" s="24"/>
      <c r="Y163" s="25"/>
      <c r="Z163" s="25">
        <f>U163+V163</f>
        <v>1513.2</v>
      </c>
      <c r="AA163" s="23">
        <v>2022</v>
      </c>
      <c r="AB163" s="74"/>
      <c r="AC163" s="64"/>
      <c r="AD163" s="65"/>
      <c r="AE163" s="66"/>
    </row>
    <row r="164" spans="1:31" s="16" customFormat="1" ht="27" customHeight="1" x14ac:dyDescent="0.25">
      <c r="A164" s="21" t="s">
        <v>10</v>
      </c>
      <c r="B164" s="21" t="s">
        <v>11</v>
      </c>
      <c r="C164" s="21" t="s">
        <v>12</v>
      </c>
      <c r="D164" s="21" t="s">
        <v>10</v>
      </c>
      <c r="E164" s="21" t="s">
        <v>20</v>
      </c>
      <c r="F164" s="21" t="s">
        <v>10</v>
      </c>
      <c r="G164" s="21" t="s">
        <v>19</v>
      </c>
      <c r="H164" s="21" t="s">
        <v>10</v>
      </c>
      <c r="I164" s="21" t="s">
        <v>18</v>
      </c>
      <c r="J164" s="21" t="s">
        <v>11</v>
      </c>
      <c r="K164" s="21" t="s">
        <v>10</v>
      </c>
      <c r="L164" s="21" t="s">
        <v>12</v>
      </c>
      <c r="M164" s="21" t="s">
        <v>11</v>
      </c>
      <c r="N164" s="21" t="s">
        <v>10</v>
      </c>
      <c r="O164" s="21" t="s">
        <v>18</v>
      </c>
      <c r="P164" s="21" t="s">
        <v>17</v>
      </c>
      <c r="Q164" s="21" t="s">
        <v>11</v>
      </c>
      <c r="R164" s="129"/>
      <c r="S164" s="126"/>
      <c r="T164" s="25"/>
      <c r="U164" s="24">
        <f>6052.7+963.7-912.1</f>
        <v>6104.2999999999993</v>
      </c>
      <c r="V164" s="114"/>
      <c r="W164" s="50"/>
      <c r="X164" s="50"/>
      <c r="Y164" s="25"/>
      <c r="Z164" s="25">
        <f>U164+V164</f>
        <v>6104.2999999999993</v>
      </c>
      <c r="AA164" s="23">
        <v>2022</v>
      </c>
      <c r="AB164" s="74"/>
      <c r="AC164" s="64"/>
      <c r="AD164" s="65"/>
      <c r="AE164" s="66"/>
    </row>
    <row r="165" spans="1:31" ht="30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7" t="s">
        <v>57</v>
      </c>
      <c r="S165" s="6" t="s">
        <v>39</v>
      </c>
      <c r="T165" s="61"/>
      <c r="U165" s="61">
        <v>1.1739999999999999</v>
      </c>
      <c r="V165" s="113"/>
      <c r="W165" s="61"/>
      <c r="X165" s="61"/>
      <c r="Y165" s="61"/>
      <c r="Z165" s="62">
        <f>U165</f>
        <v>1.1739999999999999</v>
      </c>
      <c r="AA165" s="6">
        <v>2022</v>
      </c>
      <c r="AB165" s="78"/>
    </row>
    <row r="166" spans="1:31" s="16" customFormat="1" ht="32.450000000000003" customHeight="1" x14ac:dyDescent="0.25">
      <c r="A166" s="21" t="s">
        <v>10</v>
      </c>
      <c r="B166" s="21" t="s">
        <v>11</v>
      </c>
      <c r="C166" s="21" t="s">
        <v>12</v>
      </c>
      <c r="D166" s="21" t="s">
        <v>10</v>
      </c>
      <c r="E166" s="21" t="s">
        <v>20</v>
      </c>
      <c r="F166" s="21" t="s">
        <v>10</v>
      </c>
      <c r="G166" s="21" t="s">
        <v>19</v>
      </c>
      <c r="H166" s="21" t="s">
        <v>10</v>
      </c>
      <c r="I166" s="21" t="s">
        <v>18</v>
      </c>
      <c r="J166" s="21" t="s">
        <v>11</v>
      </c>
      <c r="K166" s="21" t="s">
        <v>10</v>
      </c>
      <c r="L166" s="21" t="s">
        <v>12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127" t="s">
        <v>153</v>
      </c>
      <c r="S166" s="124" t="s">
        <v>33</v>
      </c>
      <c r="T166" s="25"/>
      <c r="U166" s="25">
        <f>U167+U168</f>
        <v>9189.3000000000011</v>
      </c>
      <c r="V166" s="60"/>
      <c r="W166" s="50"/>
      <c r="X166" s="50"/>
      <c r="Y166" s="25"/>
      <c r="Z166" s="25">
        <f>Z167+Z168</f>
        <v>9189.3000000000011</v>
      </c>
      <c r="AA166" s="23">
        <v>2022</v>
      </c>
      <c r="AB166" s="74"/>
      <c r="AC166" s="64"/>
      <c r="AD166" s="65"/>
      <c r="AE166" s="66"/>
    </row>
    <row r="167" spans="1:31" s="16" customFormat="1" ht="31.15" customHeight="1" x14ac:dyDescent="0.25">
      <c r="A167" s="21" t="s">
        <v>10</v>
      </c>
      <c r="B167" s="21" t="s">
        <v>11</v>
      </c>
      <c r="C167" s="21" t="s">
        <v>12</v>
      </c>
      <c r="D167" s="21" t="s">
        <v>10</v>
      </c>
      <c r="E167" s="21" t="s">
        <v>20</v>
      </c>
      <c r="F167" s="21" t="s">
        <v>10</v>
      </c>
      <c r="G167" s="21" t="s">
        <v>19</v>
      </c>
      <c r="H167" s="21" t="s">
        <v>10</v>
      </c>
      <c r="I167" s="21" t="s">
        <v>18</v>
      </c>
      <c r="J167" s="21" t="s">
        <v>11</v>
      </c>
      <c r="K167" s="21" t="s">
        <v>10</v>
      </c>
      <c r="L167" s="21" t="s">
        <v>12</v>
      </c>
      <c r="M167" s="21" t="s">
        <v>40</v>
      </c>
      <c r="N167" s="21" t="s">
        <v>10</v>
      </c>
      <c r="O167" s="21" t="s">
        <v>18</v>
      </c>
      <c r="P167" s="21" t="s">
        <v>17</v>
      </c>
      <c r="Q167" s="21" t="s">
        <v>11</v>
      </c>
      <c r="R167" s="128"/>
      <c r="S167" s="125"/>
      <c r="T167" s="25"/>
      <c r="U167" s="24">
        <f>2124.7-286.8</f>
        <v>1837.8999999999999</v>
      </c>
      <c r="V167" s="56"/>
      <c r="W167" s="24"/>
      <c r="X167" s="24"/>
      <c r="Y167" s="25"/>
      <c r="Z167" s="25">
        <f>U167+V167</f>
        <v>1837.8999999999999</v>
      </c>
      <c r="AA167" s="23">
        <v>2022</v>
      </c>
      <c r="AB167" s="74"/>
      <c r="AC167" s="64"/>
      <c r="AD167" s="65"/>
      <c r="AE167" s="66"/>
    </row>
    <row r="168" spans="1:31" s="16" customFormat="1" ht="31.9" customHeight="1" x14ac:dyDescent="0.25">
      <c r="A168" s="21" t="s">
        <v>10</v>
      </c>
      <c r="B168" s="21" t="s">
        <v>11</v>
      </c>
      <c r="C168" s="21" t="s">
        <v>12</v>
      </c>
      <c r="D168" s="21" t="s">
        <v>10</v>
      </c>
      <c r="E168" s="21" t="s">
        <v>20</v>
      </c>
      <c r="F168" s="21" t="s">
        <v>10</v>
      </c>
      <c r="G168" s="21" t="s">
        <v>19</v>
      </c>
      <c r="H168" s="21" t="s">
        <v>10</v>
      </c>
      <c r="I168" s="21" t="s">
        <v>18</v>
      </c>
      <c r="J168" s="21" t="s">
        <v>11</v>
      </c>
      <c r="K168" s="21" t="s">
        <v>10</v>
      </c>
      <c r="L168" s="21" t="s">
        <v>12</v>
      </c>
      <c r="M168" s="21" t="s">
        <v>11</v>
      </c>
      <c r="N168" s="21" t="s">
        <v>10</v>
      </c>
      <c r="O168" s="21" t="s">
        <v>18</v>
      </c>
      <c r="P168" s="21" t="s">
        <v>17</v>
      </c>
      <c r="Q168" s="21" t="s">
        <v>11</v>
      </c>
      <c r="R168" s="129"/>
      <c r="S168" s="126"/>
      <c r="T168" s="25"/>
      <c r="U168" s="24">
        <f>8498.7-1147.3</f>
        <v>7351.4000000000005</v>
      </c>
      <c r="V168" s="114"/>
      <c r="W168" s="50"/>
      <c r="X168" s="50"/>
      <c r="Y168" s="25"/>
      <c r="Z168" s="25">
        <f>U168+V168</f>
        <v>7351.4000000000005</v>
      </c>
      <c r="AA168" s="23">
        <v>2022</v>
      </c>
      <c r="AB168" s="74"/>
      <c r="AC168" s="64"/>
      <c r="AD168" s="65"/>
      <c r="AE168" s="66"/>
    </row>
    <row r="169" spans="1:31" ht="30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7" t="s">
        <v>57</v>
      </c>
      <c r="S169" s="6" t="s">
        <v>39</v>
      </c>
      <c r="T169" s="61"/>
      <c r="U169" s="61">
        <v>2.17</v>
      </c>
      <c r="V169" s="113"/>
      <c r="W169" s="61"/>
      <c r="X169" s="61"/>
      <c r="Y169" s="61"/>
      <c r="Z169" s="62">
        <f>U169</f>
        <v>2.17</v>
      </c>
      <c r="AA169" s="6">
        <v>2022</v>
      </c>
      <c r="AB169" s="78"/>
    </row>
    <row r="170" spans="1:31" ht="27.6" customHeight="1" x14ac:dyDescent="0.25">
      <c r="A170" s="21" t="s">
        <v>10</v>
      </c>
      <c r="B170" s="21" t="s">
        <v>11</v>
      </c>
      <c r="C170" s="21" t="s">
        <v>12</v>
      </c>
      <c r="D170" s="21" t="s">
        <v>10</v>
      </c>
      <c r="E170" s="21" t="s">
        <v>20</v>
      </c>
      <c r="F170" s="21" t="s">
        <v>10</v>
      </c>
      <c r="G170" s="21" t="s">
        <v>19</v>
      </c>
      <c r="H170" s="21" t="s">
        <v>10</v>
      </c>
      <c r="I170" s="21" t="s">
        <v>18</v>
      </c>
      <c r="J170" s="21" t="s">
        <v>11</v>
      </c>
      <c r="K170" s="21" t="s">
        <v>10</v>
      </c>
      <c r="L170" s="21" t="s">
        <v>12</v>
      </c>
      <c r="M170" s="21" t="s">
        <v>10</v>
      </c>
      <c r="N170" s="21" t="s">
        <v>10</v>
      </c>
      <c r="O170" s="21" t="s">
        <v>10</v>
      </c>
      <c r="P170" s="21" t="s">
        <v>10</v>
      </c>
      <c r="Q170" s="21" t="s">
        <v>10</v>
      </c>
      <c r="R170" s="121" t="s">
        <v>154</v>
      </c>
      <c r="S170" s="124" t="s">
        <v>33</v>
      </c>
      <c r="T170" s="25"/>
      <c r="U170" s="25">
        <f>U171+U172</f>
        <v>10649.300000000001</v>
      </c>
      <c r="V170" s="60"/>
      <c r="W170" s="25"/>
      <c r="X170" s="25"/>
      <c r="Y170" s="25"/>
      <c r="Z170" s="25">
        <f t="shared" ref="Z170:Z173" si="19">T170+U170+V170+W170+X170+Y170</f>
        <v>10649.300000000001</v>
      </c>
      <c r="AA170" s="23">
        <v>2022</v>
      </c>
      <c r="AB170" s="79"/>
      <c r="AC170" s="43"/>
    </row>
    <row r="171" spans="1:31" ht="27.6" customHeight="1" x14ac:dyDescent="0.25">
      <c r="A171" s="21" t="s">
        <v>10</v>
      </c>
      <c r="B171" s="21" t="s">
        <v>11</v>
      </c>
      <c r="C171" s="21" t="s">
        <v>12</v>
      </c>
      <c r="D171" s="21" t="s">
        <v>10</v>
      </c>
      <c r="E171" s="21" t="s">
        <v>20</v>
      </c>
      <c r="F171" s="21" t="s">
        <v>10</v>
      </c>
      <c r="G171" s="21" t="s">
        <v>19</v>
      </c>
      <c r="H171" s="21" t="s">
        <v>10</v>
      </c>
      <c r="I171" s="21" t="s">
        <v>18</v>
      </c>
      <c r="J171" s="21" t="s">
        <v>11</v>
      </c>
      <c r="K171" s="21" t="s">
        <v>10</v>
      </c>
      <c r="L171" s="21" t="s">
        <v>12</v>
      </c>
      <c r="M171" s="21" t="s">
        <v>40</v>
      </c>
      <c r="N171" s="21" t="s">
        <v>10</v>
      </c>
      <c r="O171" s="21" t="s">
        <v>18</v>
      </c>
      <c r="P171" s="21" t="s">
        <v>17</v>
      </c>
      <c r="Q171" s="21" t="s">
        <v>11</v>
      </c>
      <c r="R171" s="122"/>
      <c r="S171" s="125"/>
      <c r="T171" s="24"/>
      <c r="U171" s="24">
        <f>2365.8-414.5-82.7</f>
        <v>1868.6000000000001</v>
      </c>
      <c r="V171" s="56"/>
      <c r="W171" s="24"/>
      <c r="X171" s="24"/>
      <c r="Y171" s="24"/>
      <c r="Z171" s="25">
        <f t="shared" si="19"/>
        <v>1868.6000000000001</v>
      </c>
      <c r="AA171" s="23">
        <v>2022</v>
      </c>
      <c r="AB171" s="79"/>
    </row>
    <row r="172" spans="1:31" ht="27.6" customHeight="1" x14ac:dyDescent="0.25">
      <c r="A172" s="21" t="s">
        <v>10</v>
      </c>
      <c r="B172" s="21" t="s">
        <v>11</v>
      </c>
      <c r="C172" s="21" t="s">
        <v>12</v>
      </c>
      <c r="D172" s="21" t="s">
        <v>10</v>
      </c>
      <c r="E172" s="21" t="s">
        <v>20</v>
      </c>
      <c r="F172" s="21" t="s">
        <v>10</v>
      </c>
      <c r="G172" s="21" t="s">
        <v>19</v>
      </c>
      <c r="H172" s="21" t="s">
        <v>10</v>
      </c>
      <c r="I172" s="21" t="s">
        <v>18</v>
      </c>
      <c r="J172" s="21" t="s">
        <v>11</v>
      </c>
      <c r="K172" s="21" t="s">
        <v>10</v>
      </c>
      <c r="L172" s="21" t="s">
        <v>12</v>
      </c>
      <c r="M172" s="21" t="s">
        <v>11</v>
      </c>
      <c r="N172" s="21" t="s">
        <v>10</v>
      </c>
      <c r="O172" s="21" t="s">
        <v>18</v>
      </c>
      <c r="P172" s="21" t="s">
        <v>17</v>
      </c>
      <c r="Q172" s="21" t="s">
        <v>11</v>
      </c>
      <c r="R172" s="123"/>
      <c r="S172" s="126"/>
      <c r="T172" s="24"/>
      <c r="U172" s="24">
        <f>9463.2-682.5</f>
        <v>8780.7000000000007</v>
      </c>
      <c r="V172" s="56"/>
      <c r="W172" s="24"/>
      <c r="X172" s="24"/>
      <c r="Y172" s="24"/>
      <c r="Z172" s="25">
        <f t="shared" si="19"/>
        <v>8780.7000000000007</v>
      </c>
      <c r="AA172" s="23">
        <v>2022</v>
      </c>
      <c r="AB172" s="79"/>
    </row>
    <row r="173" spans="1:31" ht="30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7" t="s">
        <v>158</v>
      </c>
      <c r="S173" s="6" t="s">
        <v>39</v>
      </c>
      <c r="T173" s="61"/>
      <c r="U173" s="61">
        <v>1.488</v>
      </c>
      <c r="V173" s="113"/>
      <c r="W173" s="61"/>
      <c r="X173" s="61"/>
      <c r="Y173" s="61"/>
      <c r="Z173" s="62">
        <f t="shared" si="19"/>
        <v>1.488</v>
      </c>
      <c r="AA173" s="6">
        <v>2022</v>
      </c>
      <c r="AB173" s="78"/>
    </row>
    <row r="174" spans="1:31" ht="45" x14ac:dyDescent="0.25">
      <c r="A174" s="21" t="s">
        <v>10</v>
      </c>
      <c r="B174" s="21" t="s">
        <v>11</v>
      </c>
      <c r="C174" s="21" t="s">
        <v>12</v>
      </c>
      <c r="D174" s="21" t="s">
        <v>10</v>
      </c>
      <c r="E174" s="21" t="s">
        <v>20</v>
      </c>
      <c r="F174" s="21" t="s">
        <v>10</v>
      </c>
      <c r="G174" s="21" t="s">
        <v>19</v>
      </c>
      <c r="H174" s="21" t="s">
        <v>10</v>
      </c>
      <c r="I174" s="21" t="s">
        <v>18</v>
      </c>
      <c r="J174" s="21" t="s">
        <v>11</v>
      </c>
      <c r="K174" s="21" t="s">
        <v>10</v>
      </c>
      <c r="L174" s="21" t="s">
        <v>12</v>
      </c>
      <c r="M174" s="21" t="s">
        <v>40</v>
      </c>
      <c r="N174" s="21" t="s">
        <v>10</v>
      </c>
      <c r="O174" s="21" t="s">
        <v>18</v>
      </c>
      <c r="P174" s="21" t="s">
        <v>17</v>
      </c>
      <c r="Q174" s="21" t="s">
        <v>11</v>
      </c>
      <c r="R174" s="22" t="s">
        <v>169</v>
      </c>
      <c r="S174" s="23" t="s">
        <v>33</v>
      </c>
      <c r="T174" s="25"/>
      <c r="U174" s="60"/>
      <c r="V174" s="25">
        <v>1205.5999999999999</v>
      </c>
      <c r="W174" s="25"/>
      <c r="X174" s="25"/>
      <c r="Y174" s="25"/>
      <c r="Z174" s="25">
        <f>T174+U174+V174+W174+X174+Y174</f>
        <v>1205.5999999999999</v>
      </c>
      <c r="AA174" s="23">
        <v>2023</v>
      </c>
      <c r="AB174" s="76"/>
    </row>
    <row r="175" spans="1:31" s="1" customFormat="1" ht="34.1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7" t="s">
        <v>57</v>
      </c>
      <c r="S175" s="6" t="s">
        <v>39</v>
      </c>
      <c r="T175" s="9"/>
      <c r="U175" s="112"/>
      <c r="V175" s="61">
        <v>1.786</v>
      </c>
      <c r="W175" s="61"/>
      <c r="X175" s="61"/>
      <c r="Y175" s="61"/>
      <c r="Z175" s="62">
        <f>V175</f>
        <v>1.786</v>
      </c>
      <c r="AA175" s="8">
        <v>2023</v>
      </c>
      <c r="AB175" s="73"/>
      <c r="AC175" s="17"/>
      <c r="AD175" s="17"/>
    </row>
    <row r="176" spans="1:31" ht="45" x14ac:dyDescent="0.25">
      <c r="A176" s="21" t="s">
        <v>10</v>
      </c>
      <c r="B176" s="21" t="s">
        <v>11</v>
      </c>
      <c r="C176" s="21" t="s">
        <v>12</v>
      </c>
      <c r="D176" s="21" t="s">
        <v>10</v>
      </c>
      <c r="E176" s="21" t="s">
        <v>20</v>
      </c>
      <c r="F176" s="21" t="s">
        <v>10</v>
      </c>
      <c r="G176" s="21" t="s">
        <v>19</v>
      </c>
      <c r="H176" s="21" t="s">
        <v>10</v>
      </c>
      <c r="I176" s="21" t="s">
        <v>18</v>
      </c>
      <c r="J176" s="21" t="s">
        <v>11</v>
      </c>
      <c r="K176" s="21" t="s">
        <v>10</v>
      </c>
      <c r="L176" s="21" t="s">
        <v>12</v>
      </c>
      <c r="M176" s="21" t="s">
        <v>40</v>
      </c>
      <c r="N176" s="21" t="s">
        <v>10</v>
      </c>
      <c r="O176" s="21" t="s">
        <v>18</v>
      </c>
      <c r="P176" s="21" t="s">
        <v>17</v>
      </c>
      <c r="Q176" s="21" t="s">
        <v>11</v>
      </c>
      <c r="R176" s="22" t="s">
        <v>170</v>
      </c>
      <c r="S176" s="23" t="s">
        <v>33</v>
      </c>
      <c r="T176" s="25"/>
      <c r="U176" s="60"/>
      <c r="V176" s="25">
        <v>2486.1999999999998</v>
      </c>
      <c r="W176" s="25"/>
      <c r="X176" s="25"/>
      <c r="Y176" s="25"/>
      <c r="Z176" s="25">
        <f>T176+U176+V176+W176+X176+Y176</f>
        <v>2486.1999999999998</v>
      </c>
      <c r="AA176" s="23">
        <v>2023</v>
      </c>
      <c r="AB176" s="76"/>
    </row>
    <row r="177" spans="1:31" s="1" customFormat="1" ht="34.1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7" t="s">
        <v>57</v>
      </c>
      <c r="S177" s="6" t="s">
        <v>39</v>
      </c>
      <c r="T177" s="9"/>
      <c r="U177" s="112"/>
      <c r="V177" s="61">
        <v>3.5760000000000001</v>
      </c>
      <c r="W177" s="61"/>
      <c r="X177" s="61"/>
      <c r="Y177" s="61"/>
      <c r="Z177" s="62">
        <f>V177</f>
        <v>3.5760000000000001</v>
      </c>
      <c r="AA177" s="8">
        <v>2023</v>
      </c>
      <c r="AB177" s="73"/>
      <c r="AC177" s="17"/>
      <c r="AD177" s="17"/>
    </row>
    <row r="178" spans="1:31" ht="45" x14ac:dyDescent="0.25">
      <c r="A178" s="21" t="s">
        <v>10</v>
      </c>
      <c r="B178" s="21" t="s">
        <v>11</v>
      </c>
      <c r="C178" s="21" t="s">
        <v>12</v>
      </c>
      <c r="D178" s="21" t="s">
        <v>10</v>
      </c>
      <c r="E178" s="21" t="s">
        <v>20</v>
      </c>
      <c r="F178" s="21" t="s">
        <v>10</v>
      </c>
      <c r="G178" s="21" t="s">
        <v>19</v>
      </c>
      <c r="H178" s="21" t="s">
        <v>10</v>
      </c>
      <c r="I178" s="21" t="s">
        <v>18</v>
      </c>
      <c r="J178" s="21" t="s">
        <v>11</v>
      </c>
      <c r="K178" s="21" t="s">
        <v>10</v>
      </c>
      <c r="L178" s="21" t="s">
        <v>12</v>
      </c>
      <c r="M178" s="21" t="s">
        <v>40</v>
      </c>
      <c r="N178" s="21" t="s">
        <v>10</v>
      </c>
      <c r="O178" s="21" t="s">
        <v>18</v>
      </c>
      <c r="P178" s="21" t="s">
        <v>17</v>
      </c>
      <c r="Q178" s="21" t="s">
        <v>11</v>
      </c>
      <c r="R178" s="22" t="s">
        <v>171</v>
      </c>
      <c r="S178" s="23" t="s">
        <v>33</v>
      </c>
      <c r="T178" s="25"/>
      <c r="U178" s="60"/>
      <c r="V178" s="25">
        <v>677.7</v>
      </c>
      <c r="W178" s="25"/>
      <c r="X178" s="25"/>
      <c r="Y178" s="25"/>
      <c r="Z178" s="25">
        <f>T178+U178+V178+W178+X178+Y178</f>
        <v>677.7</v>
      </c>
      <c r="AA178" s="23">
        <v>2023</v>
      </c>
      <c r="AB178" s="76"/>
    </row>
    <row r="179" spans="1:31" s="1" customFormat="1" ht="34.1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7" t="s">
        <v>57</v>
      </c>
      <c r="S179" s="6" t="s">
        <v>39</v>
      </c>
      <c r="T179" s="9"/>
      <c r="U179" s="112"/>
      <c r="V179" s="61">
        <v>0.97499999999999998</v>
      </c>
      <c r="W179" s="61"/>
      <c r="X179" s="61"/>
      <c r="Y179" s="61"/>
      <c r="Z179" s="62">
        <f>V179</f>
        <v>0.97499999999999998</v>
      </c>
      <c r="AA179" s="8">
        <v>2023</v>
      </c>
      <c r="AB179" s="73"/>
      <c r="AC179" s="17"/>
      <c r="AD179" s="17"/>
    </row>
    <row r="180" spans="1:31" ht="45" x14ac:dyDescent="0.25">
      <c r="A180" s="21" t="s">
        <v>10</v>
      </c>
      <c r="B180" s="21" t="s">
        <v>11</v>
      </c>
      <c r="C180" s="21" t="s">
        <v>12</v>
      </c>
      <c r="D180" s="21" t="s">
        <v>10</v>
      </c>
      <c r="E180" s="21" t="s">
        <v>20</v>
      </c>
      <c r="F180" s="21" t="s">
        <v>10</v>
      </c>
      <c r="G180" s="21" t="s">
        <v>19</v>
      </c>
      <c r="H180" s="21" t="s">
        <v>10</v>
      </c>
      <c r="I180" s="21" t="s">
        <v>18</v>
      </c>
      <c r="J180" s="21" t="s">
        <v>11</v>
      </c>
      <c r="K180" s="21" t="s">
        <v>10</v>
      </c>
      <c r="L180" s="21" t="s">
        <v>12</v>
      </c>
      <c r="M180" s="21" t="s">
        <v>40</v>
      </c>
      <c r="N180" s="21" t="s">
        <v>10</v>
      </c>
      <c r="O180" s="21" t="s">
        <v>18</v>
      </c>
      <c r="P180" s="21" t="s">
        <v>17</v>
      </c>
      <c r="Q180" s="21" t="s">
        <v>11</v>
      </c>
      <c r="R180" s="22" t="s">
        <v>172</v>
      </c>
      <c r="S180" s="23" t="s">
        <v>33</v>
      </c>
      <c r="T180" s="25"/>
      <c r="U180" s="60"/>
      <c r="V180" s="25">
        <v>5985</v>
      </c>
      <c r="W180" s="25"/>
      <c r="X180" s="25"/>
      <c r="Y180" s="25"/>
      <c r="Z180" s="25">
        <f>T180+U180+V180+W180+X180+Y180</f>
        <v>5985</v>
      </c>
      <c r="AA180" s="23">
        <v>2023</v>
      </c>
      <c r="AB180" s="76"/>
    </row>
    <row r="181" spans="1:31" s="1" customFormat="1" ht="34.1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7" t="s">
        <v>57</v>
      </c>
      <c r="S181" s="6" t="s">
        <v>39</v>
      </c>
      <c r="T181" s="9"/>
      <c r="U181" s="112"/>
      <c r="V181" s="61">
        <v>9.4710000000000001</v>
      </c>
      <c r="W181" s="61"/>
      <c r="X181" s="61"/>
      <c r="Y181" s="61"/>
      <c r="Z181" s="62">
        <f>V181</f>
        <v>9.4710000000000001</v>
      </c>
      <c r="AA181" s="8">
        <v>2023</v>
      </c>
      <c r="AB181" s="73"/>
      <c r="AC181" s="17"/>
      <c r="AD181" s="17"/>
    </row>
    <row r="182" spans="1:31" ht="45" x14ac:dyDescent="0.25">
      <c r="A182" s="21" t="s">
        <v>10</v>
      </c>
      <c r="B182" s="21" t="s">
        <v>11</v>
      </c>
      <c r="C182" s="21" t="s">
        <v>12</v>
      </c>
      <c r="D182" s="21" t="s">
        <v>10</v>
      </c>
      <c r="E182" s="21" t="s">
        <v>20</v>
      </c>
      <c r="F182" s="21" t="s">
        <v>10</v>
      </c>
      <c r="G182" s="21" t="s">
        <v>19</v>
      </c>
      <c r="H182" s="21" t="s">
        <v>10</v>
      </c>
      <c r="I182" s="21" t="s">
        <v>18</v>
      </c>
      <c r="J182" s="21" t="s">
        <v>11</v>
      </c>
      <c r="K182" s="21" t="s">
        <v>10</v>
      </c>
      <c r="L182" s="21" t="s">
        <v>12</v>
      </c>
      <c r="M182" s="21" t="s">
        <v>40</v>
      </c>
      <c r="N182" s="21" t="s">
        <v>10</v>
      </c>
      <c r="O182" s="21" t="s">
        <v>18</v>
      </c>
      <c r="P182" s="21" t="s">
        <v>17</v>
      </c>
      <c r="Q182" s="21" t="s">
        <v>11</v>
      </c>
      <c r="R182" s="22" t="s">
        <v>173</v>
      </c>
      <c r="S182" s="23" t="s">
        <v>33</v>
      </c>
      <c r="T182" s="25"/>
      <c r="U182" s="60"/>
      <c r="V182" s="25">
        <v>1192</v>
      </c>
      <c r="W182" s="25"/>
      <c r="X182" s="25"/>
      <c r="Y182" s="25"/>
      <c r="Z182" s="25">
        <f>T182+U182+V182+W182+X182+Y182</f>
        <v>1192</v>
      </c>
      <c r="AA182" s="23">
        <v>2023</v>
      </c>
      <c r="AB182" s="76"/>
    </row>
    <row r="183" spans="1:31" s="1" customFormat="1" ht="34.1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7" t="s">
        <v>57</v>
      </c>
      <c r="S183" s="6" t="s">
        <v>39</v>
      </c>
      <c r="T183" s="9"/>
      <c r="U183" s="112"/>
      <c r="V183" s="61">
        <v>2.4159999999999999</v>
      </c>
      <c r="W183" s="61"/>
      <c r="X183" s="61"/>
      <c r="Y183" s="61"/>
      <c r="Z183" s="62">
        <f>V183</f>
        <v>2.4159999999999999</v>
      </c>
      <c r="AA183" s="8">
        <v>2023</v>
      </c>
      <c r="AB183" s="73"/>
      <c r="AC183" s="17"/>
      <c r="AD183" s="17"/>
    </row>
    <row r="184" spans="1:31" s="16" customFormat="1" ht="44.25" x14ac:dyDescent="0.25">
      <c r="A184" s="21" t="s">
        <v>10</v>
      </c>
      <c r="B184" s="21" t="s">
        <v>11</v>
      </c>
      <c r="C184" s="21" t="s">
        <v>12</v>
      </c>
      <c r="D184" s="21" t="s">
        <v>10</v>
      </c>
      <c r="E184" s="21" t="s">
        <v>20</v>
      </c>
      <c r="F184" s="21" t="s">
        <v>10</v>
      </c>
      <c r="G184" s="21" t="s">
        <v>19</v>
      </c>
      <c r="H184" s="21" t="s">
        <v>10</v>
      </c>
      <c r="I184" s="21" t="s">
        <v>18</v>
      </c>
      <c r="J184" s="21" t="s">
        <v>11</v>
      </c>
      <c r="K184" s="21" t="s">
        <v>10</v>
      </c>
      <c r="L184" s="21" t="s">
        <v>12</v>
      </c>
      <c r="M184" s="21" t="s">
        <v>40</v>
      </c>
      <c r="N184" s="21" t="s">
        <v>10</v>
      </c>
      <c r="O184" s="21" t="s">
        <v>18</v>
      </c>
      <c r="P184" s="21" t="s">
        <v>17</v>
      </c>
      <c r="Q184" s="21" t="s">
        <v>11</v>
      </c>
      <c r="R184" s="44" t="s">
        <v>175</v>
      </c>
      <c r="S184" s="104" t="s">
        <v>33</v>
      </c>
      <c r="T184" s="24"/>
      <c r="U184" s="60"/>
      <c r="V184" s="25">
        <v>1712.5</v>
      </c>
      <c r="W184" s="24"/>
      <c r="X184" s="24"/>
      <c r="Y184" s="24"/>
      <c r="Z184" s="25">
        <f>T184+U184+V184+W184+X184+Y184</f>
        <v>1712.5</v>
      </c>
      <c r="AA184" s="23">
        <v>2023</v>
      </c>
      <c r="AB184" s="77"/>
      <c r="AC184" s="30"/>
      <c r="AD184" s="15"/>
    </row>
    <row r="185" spans="1:31" s="16" customFormat="1" ht="29.25" x14ac:dyDescent="0.25">
      <c r="A185" s="13"/>
      <c r="B185" s="13"/>
      <c r="C185" s="13"/>
      <c r="D185" s="13"/>
      <c r="E185" s="13"/>
      <c r="F185" s="13"/>
      <c r="G185" s="13"/>
      <c r="H185" s="13"/>
      <c r="I185" s="14"/>
      <c r="J185" s="13"/>
      <c r="K185" s="13"/>
      <c r="L185" s="13"/>
      <c r="M185" s="13"/>
      <c r="N185" s="13"/>
      <c r="O185" s="13"/>
      <c r="P185" s="13"/>
      <c r="Q185" s="13"/>
      <c r="R185" s="12" t="s">
        <v>174</v>
      </c>
      <c r="S185" s="6" t="s">
        <v>2</v>
      </c>
      <c r="T185" s="61"/>
      <c r="U185" s="110"/>
      <c r="V185" s="61">
        <v>1.627</v>
      </c>
      <c r="W185" s="61"/>
      <c r="X185" s="61"/>
      <c r="Y185" s="61"/>
      <c r="Z185" s="62">
        <f>V185</f>
        <v>1.627</v>
      </c>
      <c r="AA185" s="6">
        <v>2023</v>
      </c>
      <c r="AB185" s="74"/>
      <c r="AC185" s="64"/>
      <c r="AD185" s="65"/>
      <c r="AE185" s="66"/>
    </row>
    <row r="186" spans="1:31" ht="42.75" x14ac:dyDescent="0.25">
      <c r="A186" s="39"/>
      <c r="B186" s="39"/>
      <c r="C186" s="39"/>
      <c r="D186" s="39" t="s">
        <v>10</v>
      </c>
      <c r="E186" s="39" t="s">
        <v>20</v>
      </c>
      <c r="F186" s="39" t="s">
        <v>10</v>
      </c>
      <c r="G186" s="39" t="s">
        <v>19</v>
      </c>
      <c r="H186" s="39" t="s">
        <v>10</v>
      </c>
      <c r="I186" s="39" t="s">
        <v>18</v>
      </c>
      <c r="J186" s="39" t="s">
        <v>11</v>
      </c>
      <c r="K186" s="39" t="s">
        <v>10</v>
      </c>
      <c r="L186" s="39" t="s">
        <v>21</v>
      </c>
      <c r="M186" s="39" t="s">
        <v>10</v>
      </c>
      <c r="N186" s="39" t="s">
        <v>10</v>
      </c>
      <c r="O186" s="39" t="s">
        <v>10</v>
      </c>
      <c r="P186" s="39" t="s">
        <v>10</v>
      </c>
      <c r="Q186" s="39" t="s">
        <v>10</v>
      </c>
      <c r="R186" s="40" t="s">
        <v>23</v>
      </c>
      <c r="S186" s="41" t="s">
        <v>33</v>
      </c>
      <c r="T186" s="42">
        <f>T189+T194+T198+T214+T216+T218+T220+T224</f>
        <v>710851.19999999984</v>
      </c>
      <c r="U186" s="42">
        <f>U189+U194+U198+U214+U216+U218+U220+U224+U226</f>
        <v>858214.6</v>
      </c>
      <c r="V186" s="42">
        <f>V189+V194+V198+V214+V216+V218+V220+V224+V226</f>
        <v>830548.79999999993</v>
      </c>
      <c r="W186" s="42">
        <f>W189+W194+W198+W214+W216+W218+W220+W224</f>
        <v>819570.6</v>
      </c>
      <c r="X186" s="42">
        <f>X189+X194+X198+X214+X216+X218+X220+X224</f>
        <v>813354.2</v>
      </c>
      <c r="Y186" s="42">
        <f>Y189+Y194+Y198+Y214+Y216+Y218+Y220+Y224</f>
        <v>413168.69999999995</v>
      </c>
      <c r="Z186" s="42">
        <f>Z189+Z194+Z198+Z214+Z216+Z218+Z220+Z224+Z226</f>
        <v>4445708.1000000006</v>
      </c>
      <c r="AA186" s="41">
        <v>2026</v>
      </c>
      <c r="AB186" s="88"/>
    </row>
    <row r="187" spans="1:31" ht="44.25" x14ac:dyDescent="0.25">
      <c r="A187" s="13"/>
      <c r="B187" s="13"/>
      <c r="C187" s="13"/>
      <c r="D187" s="13"/>
      <c r="E187" s="13"/>
      <c r="F187" s="13"/>
      <c r="G187" s="13"/>
      <c r="H187" s="13"/>
      <c r="I187" s="14"/>
      <c r="J187" s="13"/>
      <c r="K187" s="13"/>
      <c r="L187" s="13"/>
      <c r="M187" s="13"/>
      <c r="N187" s="13"/>
      <c r="O187" s="13"/>
      <c r="P187" s="13"/>
      <c r="Q187" s="13"/>
      <c r="R187" s="12" t="s">
        <v>72</v>
      </c>
      <c r="S187" s="6" t="s">
        <v>34</v>
      </c>
      <c r="T187" s="5">
        <f>T190</f>
        <v>7130.4</v>
      </c>
      <c r="U187" s="5">
        <f t="shared" ref="U187:Z187" si="20">U190</f>
        <v>7130.4</v>
      </c>
      <c r="V187" s="5">
        <f t="shared" si="20"/>
        <v>7130.4</v>
      </c>
      <c r="W187" s="5">
        <f t="shared" si="20"/>
        <v>7130.4</v>
      </c>
      <c r="X187" s="5">
        <f t="shared" si="20"/>
        <v>7130.4</v>
      </c>
      <c r="Y187" s="5">
        <f t="shared" si="20"/>
        <v>7130.4</v>
      </c>
      <c r="Z187" s="3">
        <f t="shared" si="20"/>
        <v>7130.4</v>
      </c>
      <c r="AA187" s="6">
        <v>2026</v>
      </c>
    </row>
    <row r="188" spans="1:31" ht="60" x14ac:dyDescent="0.25">
      <c r="A188" s="13"/>
      <c r="B188" s="13"/>
      <c r="C188" s="13"/>
      <c r="D188" s="13"/>
      <c r="E188" s="13"/>
      <c r="F188" s="13"/>
      <c r="G188" s="13"/>
      <c r="H188" s="13"/>
      <c r="I188" s="14"/>
      <c r="J188" s="13"/>
      <c r="K188" s="13"/>
      <c r="L188" s="13"/>
      <c r="M188" s="13"/>
      <c r="N188" s="13"/>
      <c r="O188" s="13"/>
      <c r="P188" s="13"/>
      <c r="Q188" s="13"/>
      <c r="R188" s="7" t="s">
        <v>73</v>
      </c>
      <c r="S188" s="6" t="s">
        <v>31</v>
      </c>
      <c r="T188" s="9">
        <f>T192</f>
        <v>2600</v>
      </c>
      <c r="U188" s="9">
        <f t="shared" ref="U188:Z188" si="21">U192</f>
        <v>2600</v>
      </c>
      <c r="V188" s="9">
        <f t="shared" si="21"/>
        <v>2300</v>
      </c>
      <c r="W188" s="9">
        <f t="shared" si="21"/>
        <v>2300</v>
      </c>
      <c r="X188" s="9">
        <f t="shared" si="21"/>
        <v>2300</v>
      </c>
      <c r="Y188" s="9">
        <f t="shared" si="21"/>
        <v>2300</v>
      </c>
      <c r="Z188" s="4">
        <f t="shared" si="21"/>
        <v>14400</v>
      </c>
      <c r="AA188" s="6">
        <v>2026</v>
      </c>
    </row>
    <row r="189" spans="1:31" ht="45" x14ac:dyDescent="0.25">
      <c r="A189" s="21" t="s">
        <v>10</v>
      </c>
      <c r="B189" s="21" t="s">
        <v>11</v>
      </c>
      <c r="C189" s="21" t="s">
        <v>12</v>
      </c>
      <c r="D189" s="21" t="s">
        <v>10</v>
      </c>
      <c r="E189" s="21" t="s">
        <v>20</v>
      </c>
      <c r="F189" s="21" t="s">
        <v>10</v>
      </c>
      <c r="G189" s="21" t="s">
        <v>19</v>
      </c>
      <c r="H189" s="21" t="s">
        <v>10</v>
      </c>
      <c r="I189" s="21" t="s">
        <v>18</v>
      </c>
      <c r="J189" s="21" t="s">
        <v>11</v>
      </c>
      <c r="K189" s="21" t="s">
        <v>10</v>
      </c>
      <c r="L189" s="21" t="s">
        <v>21</v>
      </c>
      <c r="M189" s="21" t="s">
        <v>19</v>
      </c>
      <c r="N189" s="21" t="s">
        <v>19</v>
      </c>
      <c r="O189" s="21" t="s">
        <v>19</v>
      </c>
      <c r="P189" s="21" t="s">
        <v>19</v>
      </c>
      <c r="Q189" s="21" t="s">
        <v>19</v>
      </c>
      <c r="R189" s="22" t="s">
        <v>62</v>
      </c>
      <c r="S189" s="23" t="s">
        <v>33</v>
      </c>
      <c r="T189" s="25">
        <f>415228.6-50+36874.2-20000-500+4234.8-7000-500-1000+3600+40000+12946.9+65761.3+29319.2+28248.7-99.7</f>
        <v>607064</v>
      </c>
      <c r="U189" s="25">
        <f>536686.2-669.4-44306.5+61486.8+10000+5763+107208.5</f>
        <v>676168.6</v>
      </c>
      <c r="V189" s="25">
        <v>632204</v>
      </c>
      <c r="W189" s="25">
        <f>555596.4+78222.5</f>
        <v>633818.9</v>
      </c>
      <c r="X189" s="25">
        <v>633818.9</v>
      </c>
      <c r="Y189" s="25">
        <v>388589</v>
      </c>
      <c r="Z189" s="25">
        <f>T189+U189+V189+W189+X189+Y189</f>
        <v>3571663.4</v>
      </c>
      <c r="AA189" s="23">
        <v>2026</v>
      </c>
    </row>
    <row r="190" spans="1:31" ht="45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7" t="s">
        <v>63</v>
      </c>
      <c r="S190" s="6" t="s">
        <v>39</v>
      </c>
      <c r="T190" s="5">
        <v>7130.4</v>
      </c>
      <c r="U190" s="5">
        <v>7130.4</v>
      </c>
      <c r="V190" s="5">
        <v>7130.4</v>
      </c>
      <c r="W190" s="5">
        <v>7130.4</v>
      </c>
      <c r="X190" s="5">
        <v>7130.4</v>
      </c>
      <c r="Y190" s="5">
        <v>7130.4</v>
      </c>
      <c r="Z190" s="3">
        <v>7130.4</v>
      </c>
      <c r="AA190" s="6">
        <v>2026</v>
      </c>
    </row>
    <row r="191" spans="1:31" ht="4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7" t="s">
        <v>64</v>
      </c>
      <c r="S191" s="6" t="s">
        <v>31</v>
      </c>
      <c r="T191" s="9">
        <v>98</v>
      </c>
      <c r="U191" s="9">
        <v>10</v>
      </c>
      <c r="V191" s="9">
        <v>10</v>
      </c>
      <c r="W191" s="9">
        <v>10</v>
      </c>
      <c r="X191" s="9">
        <v>10</v>
      </c>
      <c r="Y191" s="9">
        <v>10</v>
      </c>
      <c r="Z191" s="4">
        <f t="shared" ref="Z191:Z216" si="22">T191+U191+V191+W191+X191+Y191</f>
        <v>148</v>
      </c>
      <c r="AA191" s="6">
        <v>2026</v>
      </c>
    </row>
    <row r="192" spans="1:31" ht="4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7" t="s">
        <v>65</v>
      </c>
      <c r="S192" s="6" t="s">
        <v>31</v>
      </c>
      <c r="T192" s="9">
        <v>2600</v>
      </c>
      <c r="U192" s="9">
        <v>2600</v>
      </c>
      <c r="V192" s="9">
        <v>2300</v>
      </c>
      <c r="W192" s="9">
        <v>2300</v>
      </c>
      <c r="X192" s="9">
        <v>2300</v>
      </c>
      <c r="Y192" s="9">
        <v>2300</v>
      </c>
      <c r="Z192" s="4">
        <f t="shared" si="22"/>
        <v>14400</v>
      </c>
      <c r="AA192" s="6">
        <v>2026</v>
      </c>
    </row>
    <row r="193" spans="1:30" ht="4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7" t="s">
        <v>66</v>
      </c>
      <c r="S193" s="6" t="s">
        <v>8</v>
      </c>
      <c r="T193" s="5">
        <v>61400</v>
      </c>
      <c r="U193" s="5">
        <v>63790.6</v>
      </c>
      <c r="V193" s="5">
        <v>50000</v>
      </c>
      <c r="W193" s="5">
        <v>50000</v>
      </c>
      <c r="X193" s="5">
        <v>50000</v>
      </c>
      <c r="Y193" s="5">
        <v>50000</v>
      </c>
      <c r="Z193" s="3">
        <f t="shared" si="22"/>
        <v>325190.59999999998</v>
      </c>
      <c r="AA193" s="6">
        <v>2026</v>
      </c>
    </row>
    <row r="194" spans="1:30" ht="30" x14ac:dyDescent="0.25">
      <c r="A194" s="21" t="s">
        <v>10</v>
      </c>
      <c r="B194" s="21" t="s">
        <v>11</v>
      </c>
      <c r="C194" s="21" t="s">
        <v>12</v>
      </c>
      <c r="D194" s="21" t="s">
        <v>10</v>
      </c>
      <c r="E194" s="21" t="s">
        <v>20</v>
      </c>
      <c r="F194" s="21" t="s">
        <v>10</v>
      </c>
      <c r="G194" s="21" t="s">
        <v>19</v>
      </c>
      <c r="H194" s="21" t="s">
        <v>10</v>
      </c>
      <c r="I194" s="21" t="s">
        <v>18</v>
      </c>
      <c r="J194" s="21" t="s">
        <v>11</v>
      </c>
      <c r="K194" s="21" t="s">
        <v>10</v>
      </c>
      <c r="L194" s="21" t="s">
        <v>21</v>
      </c>
      <c r="M194" s="21" t="s">
        <v>19</v>
      </c>
      <c r="N194" s="21" t="s">
        <v>19</v>
      </c>
      <c r="O194" s="21" t="s">
        <v>19</v>
      </c>
      <c r="P194" s="21" t="s">
        <v>19</v>
      </c>
      <c r="Q194" s="21" t="s">
        <v>19</v>
      </c>
      <c r="R194" s="22" t="s">
        <v>133</v>
      </c>
      <c r="S194" s="23" t="s">
        <v>33</v>
      </c>
      <c r="T194" s="25">
        <f>2500+114.7</f>
        <v>2614.6999999999998</v>
      </c>
      <c r="U194" s="25">
        <f>18000+2499.8+1300+2500+112.6-3444.9+309.9</f>
        <v>21277.399999999998</v>
      </c>
      <c r="V194" s="25">
        <v>35560</v>
      </c>
      <c r="W194" s="25">
        <v>26000</v>
      </c>
      <c r="X194" s="25">
        <v>26000</v>
      </c>
      <c r="Y194" s="25">
        <f>1233.1+600</f>
        <v>1833.1</v>
      </c>
      <c r="Z194" s="25">
        <f>T194+U194+V194+W194+X194+Y194</f>
        <v>113285.20000000001</v>
      </c>
      <c r="AA194" s="23">
        <v>2026</v>
      </c>
      <c r="AB194" s="76"/>
    </row>
    <row r="195" spans="1:30" s="1" customFormat="1" ht="34.1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7" t="s">
        <v>134</v>
      </c>
      <c r="S195" s="6" t="s">
        <v>31</v>
      </c>
      <c r="T195" s="9">
        <v>191</v>
      </c>
      <c r="U195" s="9">
        <v>196</v>
      </c>
      <c r="V195" s="9">
        <v>196</v>
      </c>
      <c r="W195" s="9">
        <v>196</v>
      </c>
      <c r="X195" s="9">
        <v>196</v>
      </c>
      <c r="Y195" s="9">
        <v>196</v>
      </c>
      <c r="Z195" s="4">
        <v>196</v>
      </c>
      <c r="AA195" s="8">
        <v>2026</v>
      </c>
      <c r="AB195" s="73"/>
      <c r="AC195" s="17"/>
      <c r="AD195" s="17"/>
    </row>
    <row r="196" spans="1:30" ht="30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7" t="s">
        <v>135</v>
      </c>
      <c r="S196" s="6" t="s">
        <v>31</v>
      </c>
      <c r="T196" s="8"/>
      <c r="U196" s="57"/>
      <c r="V196" s="57"/>
      <c r="W196" s="8">
        <v>2</v>
      </c>
      <c r="X196" s="8">
        <v>2</v>
      </c>
      <c r="Y196" s="8">
        <v>2</v>
      </c>
      <c r="Z196" s="4">
        <f t="shared" si="22"/>
        <v>6</v>
      </c>
      <c r="AA196" s="6">
        <v>2026</v>
      </c>
    </row>
    <row r="197" spans="1:30" ht="30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7" t="s">
        <v>136</v>
      </c>
      <c r="S197" s="6" t="s">
        <v>31</v>
      </c>
      <c r="T197" s="8">
        <v>3</v>
      </c>
      <c r="U197" s="8">
        <v>3</v>
      </c>
      <c r="V197" s="8">
        <v>6</v>
      </c>
      <c r="W197" s="8">
        <v>2</v>
      </c>
      <c r="X197" s="8">
        <v>2</v>
      </c>
      <c r="Y197" s="8">
        <v>2</v>
      </c>
      <c r="Z197" s="4">
        <f t="shared" si="22"/>
        <v>18</v>
      </c>
      <c r="AA197" s="6">
        <v>2026</v>
      </c>
    </row>
    <row r="198" spans="1:30" ht="44.25" x14ac:dyDescent="0.25">
      <c r="A198" s="21"/>
      <c r="B198" s="21"/>
      <c r="C198" s="21"/>
      <c r="D198" s="21" t="s">
        <v>10</v>
      </c>
      <c r="E198" s="21" t="s">
        <v>20</v>
      </c>
      <c r="F198" s="21" t="s">
        <v>10</v>
      </c>
      <c r="G198" s="21" t="s">
        <v>19</v>
      </c>
      <c r="H198" s="21" t="s">
        <v>10</v>
      </c>
      <c r="I198" s="21" t="s">
        <v>18</v>
      </c>
      <c r="J198" s="21" t="s">
        <v>11</v>
      </c>
      <c r="K198" s="21" t="s">
        <v>10</v>
      </c>
      <c r="L198" s="21" t="s">
        <v>21</v>
      </c>
      <c r="M198" s="21" t="s">
        <v>19</v>
      </c>
      <c r="N198" s="21" t="s">
        <v>19</v>
      </c>
      <c r="O198" s="21" t="s">
        <v>19</v>
      </c>
      <c r="P198" s="21" t="s">
        <v>19</v>
      </c>
      <c r="Q198" s="21" t="s">
        <v>19</v>
      </c>
      <c r="R198" s="45" t="s">
        <v>70</v>
      </c>
      <c r="S198" s="23" t="s">
        <v>33</v>
      </c>
      <c r="T198" s="25">
        <f t="shared" ref="T198:Y198" si="23">T200+T204+T208+T212</f>
        <v>25249.599999999999</v>
      </c>
      <c r="U198" s="25">
        <f t="shared" si="23"/>
        <v>30009.699999999997</v>
      </c>
      <c r="V198" s="25">
        <f t="shared" si="23"/>
        <v>26924.2</v>
      </c>
      <c r="W198" s="25">
        <f t="shared" si="23"/>
        <v>26924.2</v>
      </c>
      <c r="X198" s="25">
        <f t="shared" si="23"/>
        <v>26924.2</v>
      </c>
      <c r="Y198" s="25">
        <f t="shared" si="23"/>
        <v>22396.600000000002</v>
      </c>
      <c r="Z198" s="25">
        <f>Z200+Z204+Z208+Z212</f>
        <v>158428.49999999997</v>
      </c>
      <c r="AA198" s="23">
        <v>2026</v>
      </c>
      <c r="AB198" s="103"/>
    </row>
    <row r="199" spans="1:30" ht="30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7" t="s">
        <v>71</v>
      </c>
      <c r="S199" s="6" t="s">
        <v>15</v>
      </c>
      <c r="T199" s="5">
        <f t="shared" ref="T199:Z199" si="24">T201+T205+T209</f>
        <v>636.29999999999995</v>
      </c>
      <c r="U199" s="5">
        <f t="shared" si="24"/>
        <v>293</v>
      </c>
      <c r="V199" s="5">
        <f t="shared" si="24"/>
        <v>531</v>
      </c>
      <c r="W199" s="5">
        <f t="shared" si="24"/>
        <v>530</v>
      </c>
      <c r="X199" s="5">
        <f t="shared" si="24"/>
        <v>530</v>
      </c>
      <c r="Y199" s="5">
        <f t="shared" si="24"/>
        <v>530</v>
      </c>
      <c r="Z199" s="3">
        <f t="shared" si="24"/>
        <v>3050.3</v>
      </c>
      <c r="AA199" s="6">
        <v>2026</v>
      </c>
    </row>
    <row r="200" spans="1:30" ht="45" x14ac:dyDescent="0.25">
      <c r="A200" s="21" t="s">
        <v>10</v>
      </c>
      <c r="B200" s="21" t="s">
        <v>10</v>
      </c>
      <c r="C200" s="21" t="s">
        <v>21</v>
      </c>
      <c r="D200" s="21" t="s">
        <v>10</v>
      </c>
      <c r="E200" s="21" t="s">
        <v>20</v>
      </c>
      <c r="F200" s="21" t="s">
        <v>10</v>
      </c>
      <c r="G200" s="21" t="s">
        <v>19</v>
      </c>
      <c r="H200" s="21" t="s">
        <v>10</v>
      </c>
      <c r="I200" s="21" t="s">
        <v>18</v>
      </c>
      <c r="J200" s="21" t="s">
        <v>11</v>
      </c>
      <c r="K200" s="21" t="s">
        <v>10</v>
      </c>
      <c r="L200" s="21" t="s">
        <v>21</v>
      </c>
      <c r="M200" s="21" t="s">
        <v>19</v>
      </c>
      <c r="N200" s="21" t="s">
        <v>19</v>
      </c>
      <c r="O200" s="21" t="s">
        <v>19</v>
      </c>
      <c r="P200" s="21" t="s">
        <v>19</v>
      </c>
      <c r="Q200" s="21" t="s">
        <v>19</v>
      </c>
      <c r="R200" s="22" t="s">
        <v>54</v>
      </c>
      <c r="S200" s="23" t="s">
        <v>33</v>
      </c>
      <c r="T200" s="24">
        <f>1252.2-957.3</f>
        <v>294.90000000000009</v>
      </c>
      <c r="U200" s="24">
        <f>252.2-209.9</f>
        <v>42.299999999999983</v>
      </c>
      <c r="V200" s="24">
        <v>252.2</v>
      </c>
      <c r="W200" s="24">
        <v>252.2</v>
      </c>
      <c r="X200" s="24">
        <v>252.2</v>
      </c>
      <c r="Y200" s="24">
        <v>252.2</v>
      </c>
      <c r="Z200" s="25">
        <f t="shared" si="22"/>
        <v>1346.0000000000002</v>
      </c>
      <c r="AA200" s="23">
        <v>2026</v>
      </c>
    </row>
    <row r="201" spans="1:30" ht="30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7" t="s">
        <v>55</v>
      </c>
      <c r="S201" s="6" t="s">
        <v>15</v>
      </c>
      <c r="T201" s="5">
        <v>340.3</v>
      </c>
      <c r="U201" s="5"/>
      <c r="V201" s="5">
        <v>298</v>
      </c>
      <c r="W201" s="5">
        <v>300</v>
      </c>
      <c r="X201" s="5">
        <v>300</v>
      </c>
      <c r="Y201" s="5">
        <v>300</v>
      </c>
      <c r="Z201" s="3">
        <f>T201+U201+V201+W201+X201+Y201</f>
        <v>1538.3</v>
      </c>
      <c r="AA201" s="6">
        <v>2026</v>
      </c>
    </row>
    <row r="202" spans="1:30" ht="30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7" t="s">
        <v>160</v>
      </c>
      <c r="S202" s="6" t="s">
        <v>15</v>
      </c>
      <c r="T202" s="5"/>
      <c r="U202" s="5">
        <v>24</v>
      </c>
      <c r="V202" s="5">
        <v>57</v>
      </c>
      <c r="W202" s="5">
        <v>60</v>
      </c>
      <c r="X202" s="5">
        <v>60</v>
      </c>
      <c r="Y202" s="5">
        <v>60</v>
      </c>
      <c r="Z202" s="3">
        <f t="shared" ref="Z202" si="25">T202+U202+V202+W202+X202+Y202</f>
        <v>261</v>
      </c>
      <c r="AA202" s="6">
        <v>2026</v>
      </c>
    </row>
    <row r="203" spans="1:30" ht="30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7" t="s">
        <v>161</v>
      </c>
      <c r="S203" s="6" t="s">
        <v>159</v>
      </c>
      <c r="T203" s="9"/>
      <c r="U203" s="5">
        <v>54</v>
      </c>
      <c r="V203" s="5">
        <v>48</v>
      </c>
      <c r="W203" s="5">
        <v>50</v>
      </c>
      <c r="X203" s="5">
        <v>50</v>
      </c>
      <c r="Y203" s="5">
        <v>50</v>
      </c>
      <c r="Z203" s="3">
        <f t="shared" si="22"/>
        <v>252</v>
      </c>
      <c r="AA203" s="6">
        <v>2026</v>
      </c>
    </row>
    <row r="204" spans="1:30" ht="45" x14ac:dyDescent="0.25">
      <c r="A204" s="21" t="s">
        <v>10</v>
      </c>
      <c r="B204" s="21" t="s">
        <v>10</v>
      </c>
      <c r="C204" s="21" t="s">
        <v>20</v>
      </c>
      <c r="D204" s="21" t="s">
        <v>10</v>
      </c>
      <c r="E204" s="21" t="s">
        <v>20</v>
      </c>
      <c r="F204" s="21" t="s">
        <v>10</v>
      </c>
      <c r="G204" s="21" t="s">
        <v>19</v>
      </c>
      <c r="H204" s="21" t="s">
        <v>10</v>
      </c>
      <c r="I204" s="21" t="s">
        <v>18</v>
      </c>
      <c r="J204" s="21" t="s">
        <v>11</v>
      </c>
      <c r="K204" s="21" t="s">
        <v>10</v>
      </c>
      <c r="L204" s="21" t="s">
        <v>21</v>
      </c>
      <c r="M204" s="21" t="s">
        <v>19</v>
      </c>
      <c r="N204" s="21" t="s">
        <v>19</v>
      </c>
      <c r="O204" s="21" t="s">
        <v>19</v>
      </c>
      <c r="P204" s="21" t="s">
        <v>19</v>
      </c>
      <c r="Q204" s="21" t="s">
        <v>19</v>
      </c>
      <c r="R204" s="22" t="s">
        <v>54</v>
      </c>
      <c r="S204" s="23" t="s">
        <v>33</v>
      </c>
      <c r="T204" s="24">
        <v>150</v>
      </c>
      <c r="U204" s="24">
        <f>150-35.7</f>
        <v>114.3</v>
      </c>
      <c r="V204" s="24">
        <v>150</v>
      </c>
      <c r="W204" s="24">
        <v>150</v>
      </c>
      <c r="X204" s="24">
        <v>150</v>
      </c>
      <c r="Y204" s="24">
        <v>150</v>
      </c>
      <c r="Z204" s="25">
        <f t="shared" si="22"/>
        <v>864.3</v>
      </c>
      <c r="AA204" s="23">
        <v>2026</v>
      </c>
    </row>
    <row r="205" spans="1:30" ht="30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7" t="s">
        <v>162</v>
      </c>
      <c r="S205" s="6" t="s">
        <v>15</v>
      </c>
      <c r="T205" s="5">
        <v>216</v>
      </c>
      <c r="U205" s="5">
        <v>218</v>
      </c>
      <c r="V205" s="5">
        <v>153</v>
      </c>
      <c r="W205" s="5">
        <v>150</v>
      </c>
      <c r="X205" s="5">
        <v>150</v>
      </c>
      <c r="Y205" s="5">
        <v>150</v>
      </c>
      <c r="Z205" s="3">
        <f t="shared" si="22"/>
        <v>1037</v>
      </c>
      <c r="AA205" s="6">
        <v>2026</v>
      </c>
    </row>
    <row r="206" spans="1:30" ht="30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7" t="s">
        <v>163</v>
      </c>
      <c r="S206" s="6" t="s">
        <v>15</v>
      </c>
      <c r="T206" s="5">
        <v>50</v>
      </c>
      <c r="U206" s="110"/>
      <c r="V206" s="5">
        <v>80</v>
      </c>
      <c r="W206" s="5">
        <v>80</v>
      </c>
      <c r="X206" s="5">
        <v>80</v>
      </c>
      <c r="Y206" s="5">
        <v>80</v>
      </c>
      <c r="Z206" s="3">
        <f t="shared" si="22"/>
        <v>370</v>
      </c>
      <c r="AA206" s="6">
        <v>2026</v>
      </c>
    </row>
    <row r="207" spans="1:30" ht="30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7" t="s">
        <v>164</v>
      </c>
      <c r="S207" s="6" t="s">
        <v>159</v>
      </c>
      <c r="T207" s="9"/>
      <c r="U207" s="112"/>
      <c r="V207" s="5">
        <v>36</v>
      </c>
      <c r="W207" s="5">
        <v>36</v>
      </c>
      <c r="X207" s="5">
        <v>36</v>
      </c>
      <c r="Y207" s="5">
        <v>36</v>
      </c>
      <c r="Z207" s="3">
        <f t="shared" si="22"/>
        <v>144</v>
      </c>
      <c r="AA207" s="6">
        <v>2026</v>
      </c>
    </row>
    <row r="208" spans="1:30" ht="45" x14ac:dyDescent="0.25">
      <c r="A208" s="21" t="s">
        <v>10</v>
      </c>
      <c r="B208" s="21" t="s">
        <v>10</v>
      </c>
      <c r="C208" s="21" t="s">
        <v>17</v>
      </c>
      <c r="D208" s="21" t="s">
        <v>10</v>
      </c>
      <c r="E208" s="21" t="s">
        <v>20</v>
      </c>
      <c r="F208" s="21" t="s">
        <v>10</v>
      </c>
      <c r="G208" s="21" t="s">
        <v>19</v>
      </c>
      <c r="H208" s="21" t="s">
        <v>10</v>
      </c>
      <c r="I208" s="21" t="s">
        <v>18</v>
      </c>
      <c r="J208" s="21" t="s">
        <v>11</v>
      </c>
      <c r="K208" s="21" t="s">
        <v>10</v>
      </c>
      <c r="L208" s="21" t="s">
        <v>21</v>
      </c>
      <c r="M208" s="21" t="s">
        <v>19</v>
      </c>
      <c r="N208" s="21" t="s">
        <v>19</v>
      </c>
      <c r="O208" s="21" t="s">
        <v>19</v>
      </c>
      <c r="P208" s="21" t="s">
        <v>19</v>
      </c>
      <c r="Q208" s="21" t="s">
        <v>19</v>
      </c>
      <c r="R208" s="22" t="s">
        <v>54</v>
      </c>
      <c r="S208" s="23" t="s">
        <v>33</v>
      </c>
      <c r="T208" s="24">
        <v>200</v>
      </c>
      <c r="U208" s="24">
        <v>200</v>
      </c>
      <c r="V208" s="24">
        <v>200</v>
      </c>
      <c r="W208" s="24">
        <v>200</v>
      </c>
      <c r="X208" s="24">
        <v>200</v>
      </c>
      <c r="Y208" s="24">
        <v>200</v>
      </c>
      <c r="Z208" s="25">
        <f t="shared" si="22"/>
        <v>1200</v>
      </c>
      <c r="AA208" s="23">
        <v>2026</v>
      </c>
    </row>
    <row r="209" spans="1:32" ht="30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7" t="s">
        <v>165</v>
      </c>
      <c r="S209" s="6" t="s">
        <v>15</v>
      </c>
      <c r="T209" s="5">
        <v>80</v>
      </c>
      <c r="U209" s="5">
        <v>75</v>
      </c>
      <c r="V209" s="5">
        <v>80</v>
      </c>
      <c r="W209" s="5">
        <v>80</v>
      </c>
      <c r="X209" s="5">
        <v>80</v>
      </c>
      <c r="Y209" s="5">
        <v>80</v>
      </c>
      <c r="Z209" s="3">
        <f t="shared" si="22"/>
        <v>475</v>
      </c>
      <c r="AA209" s="6">
        <v>2026</v>
      </c>
    </row>
    <row r="210" spans="1:32" ht="30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7" t="s">
        <v>166</v>
      </c>
      <c r="S210" s="6" t="s">
        <v>15</v>
      </c>
      <c r="T210" s="5">
        <v>100</v>
      </c>
      <c r="U210" s="5">
        <v>240</v>
      </c>
      <c r="V210" s="5">
        <v>100</v>
      </c>
      <c r="W210" s="5">
        <v>100</v>
      </c>
      <c r="X210" s="5">
        <v>100</v>
      </c>
      <c r="Y210" s="5">
        <v>100</v>
      </c>
      <c r="Z210" s="3">
        <f t="shared" si="22"/>
        <v>740</v>
      </c>
      <c r="AA210" s="6">
        <v>2026</v>
      </c>
    </row>
    <row r="211" spans="1:32" s="1" customFormat="1" ht="30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7" t="s">
        <v>168</v>
      </c>
      <c r="S211" s="6" t="s">
        <v>159</v>
      </c>
      <c r="T211" s="9"/>
      <c r="U211" s="112"/>
      <c r="V211" s="5">
        <v>60</v>
      </c>
      <c r="W211" s="5">
        <v>60</v>
      </c>
      <c r="X211" s="5">
        <v>60</v>
      </c>
      <c r="Y211" s="5">
        <v>60</v>
      </c>
      <c r="Z211" s="3">
        <f>T211+U211+V211+W211+X211+Y211</f>
        <v>240</v>
      </c>
      <c r="AA211" s="6">
        <v>2026</v>
      </c>
      <c r="AB211" s="73"/>
      <c r="AC211" s="17"/>
      <c r="AD211" s="17"/>
    </row>
    <row r="212" spans="1:32" ht="45" x14ac:dyDescent="0.25">
      <c r="A212" s="21" t="s">
        <v>10</v>
      </c>
      <c r="B212" s="21" t="s">
        <v>11</v>
      </c>
      <c r="C212" s="21" t="s">
        <v>12</v>
      </c>
      <c r="D212" s="21" t="s">
        <v>10</v>
      </c>
      <c r="E212" s="21" t="s">
        <v>20</v>
      </c>
      <c r="F212" s="21" t="s">
        <v>10</v>
      </c>
      <c r="G212" s="21" t="s">
        <v>19</v>
      </c>
      <c r="H212" s="21" t="s">
        <v>10</v>
      </c>
      <c r="I212" s="21" t="s">
        <v>18</v>
      </c>
      <c r="J212" s="21" t="s">
        <v>11</v>
      </c>
      <c r="K212" s="21" t="s">
        <v>10</v>
      </c>
      <c r="L212" s="21" t="s">
        <v>21</v>
      </c>
      <c r="M212" s="21" t="s">
        <v>19</v>
      </c>
      <c r="N212" s="21" t="s">
        <v>19</v>
      </c>
      <c r="O212" s="21" t="s">
        <v>19</v>
      </c>
      <c r="P212" s="21" t="s">
        <v>19</v>
      </c>
      <c r="Q212" s="21" t="s">
        <v>19</v>
      </c>
      <c r="R212" s="22" t="s">
        <v>54</v>
      </c>
      <c r="S212" s="23" t="s">
        <v>33</v>
      </c>
      <c r="T212" s="24">
        <f>24827.1-222.4</f>
        <v>24604.699999999997</v>
      </c>
      <c r="U212" s="24">
        <f>25184.6+4478.2-9.7</f>
        <v>29653.1</v>
      </c>
      <c r="V212" s="24">
        <v>26322</v>
      </c>
      <c r="W212" s="24">
        <v>26322</v>
      </c>
      <c r="X212" s="24">
        <v>26322</v>
      </c>
      <c r="Y212" s="24">
        <v>21794.400000000001</v>
      </c>
      <c r="Z212" s="25">
        <f t="shared" si="22"/>
        <v>155018.19999999998</v>
      </c>
      <c r="AA212" s="23">
        <v>2026</v>
      </c>
    </row>
    <row r="213" spans="1:32" s="10" customFormat="1" ht="45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7" t="s">
        <v>167</v>
      </c>
      <c r="S213" s="6" t="s">
        <v>37</v>
      </c>
      <c r="T213" s="5">
        <v>2708</v>
      </c>
      <c r="U213" s="5">
        <v>2708</v>
      </c>
      <c r="V213" s="5">
        <v>2715.2</v>
      </c>
      <c r="W213" s="5">
        <v>2715.2</v>
      </c>
      <c r="X213" s="5">
        <v>2715.2</v>
      </c>
      <c r="Y213" s="5">
        <v>2715.2</v>
      </c>
      <c r="Z213" s="3">
        <f>T213+U213+V213+W213+X213+Y213</f>
        <v>16276.8</v>
      </c>
      <c r="AA213" s="6">
        <v>2026</v>
      </c>
      <c r="AB213" s="73"/>
      <c r="AC213" s="17"/>
      <c r="AD213" s="17"/>
      <c r="AE213" s="1"/>
      <c r="AF213" s="1"/>
    </row>
    <row r="214" spans="1:32" s="10" customFormat="1" ht="45" x14ac:dyDescent="0.25">
      <c r="A214" s="21" t="s">
        <v>10</v>
      </c>
      <c r="B214" s="21" t="s">
        <v>11</v>
      </c>
      <c r="C214" s="21" t="s">
        <v>12</v>
      </c>
      <c r="D214" s="21" t="s">
        <v>10</v>
      </c>
      <c r="E214" s="21" t="s">
        <v>20</v>
      </c>
      <c r="F214" s="21" t="s">
        <v>10</v>
      </c>
      <c r="G214" s="21" t="s">
        <v>19</v>
      </c>
      <c r="H214" s="21" t="s">
        <v>10</v>
      </c>
      <c r="I214" s="21" t="s">
        <v>18</v>
      </c>
      <c r="J214" s="21" t="s">
        <v>11</v>
      </c>
      <c r="K214" s="21" t="s">
        <v>10</v>
      </c>
      <c r="L214" s="21" t="s">
        <v>21</v>
      </c>
      <c r="M214" s="21" t="s">
        <v>19</v>
      </c>
      <c r="N214" s="21" t="s">
        <v>19</v>
      </c>
      <c r="O214" s="21" t="s">
        <v>19</v>
      </c>
      <c r="P214" s="21" t="s">
        <v>19</v>
      </c>
      <c r="Q214" s="21" t="s">
        <v>19</v>
      </c>
      <c r="R214" s="22" t="s">
        <v>67</v>
      </c>
      <c r="S214" s="23" t="s">
        <v>33</v>
      </c>
      <c r="T214" s="25">
        <f>500+500+500+1000</f>
        <v>2500</v>
      </c>
      <c r="U214" s="25">
        <f>2000+1850-1350</f>
        <v>2500</v>
      </c>
      <c r="V214" s="25">
        <v>2500</v>
      </c>
      <c r="W214" s="25">
        <v>1500</v>
      </c>
      <c r="X214" s="25">
        <v>1500</v>
      </c>
      <c r="Y214" s="25">
        <v>350</v>
      </c>
      <c r="Z214" s="25">
        <f t="shared" si="22"/>
        <v>10850</v>
      </c>
      <c r="AA214" s="23">
        <v>2026</v>
      </c>
      <c r="AB214" s="73"/>
      <c r="AC214" s="17"/>
      <c r="AD214" s="17"/>
      <c r="AE214" s="1"/>
      <c r="AF214" s="1"/>
    </row>
    <row r="215" spans="1:32" s="1" customFormat="1" ht="30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7" t="s">
        <v>69</v>
      </c>
      <c r="S215" s="6" t="s">
        <v>31</v>
      </c>
      <c r="T215" s="8">
        <v>40</v>
      </c>
      <c r="U215" s="8">
        <v>45</v>
      </c>
      <c r="V215" s="8">
        <v>40</v>
      </c>
      <c r="W215" s="8">
        <v>20</v>
      </c>
      <c r="X215" s="8">
        <v>20</v>
      </c>
      <c r="Y215" s="8">
        <v>20</v>
      </c>
      <c r="Z215" s="4">
        <f t="shared" si="22"/>
        <v>185</v>
      </c>
      <c r="AA215" s="6">
        <v>2026</v>
      </c>
      <c r="AB215" s="73"/>
      <c r="AC215" s="17"/>
      <c r="AD215" s="17"/>
    </row>
    <row r="216" spans="1:32" s="10" customFormat="1" ht="30" x14ac:dyDescent="0.25">
      <c r="A216" s="21" t="s">
        <v>10</v>
      </c>
      <c r="B216" s="21" t="s">
        <v>11</v>
      </c>
      <c r="C216" s="21" t="s">
        <v>12</v>
      </c>
      <c r="D216" s="21" t="s">
        <v>10</v>
      </c>
      <c r="E216" s="21" t="s">
        <v>20</v>
      </c>
      <c r="F216" s="21" t="s">
        <v>10</v>
      </c>
      <c r="G216" s="21" t="s">
        <v>19</v>
      </c>
      <c r="H216" s="21" t="s">
        <v>10</v>
      </c>
      <c r="I216" s="21" t="s">
        <v>18</v>
      </c>
      <c r="J216" s="21" t="s">
        <v>11</v>
      </c>
      <c r="K216" s="21" t="s">
        <v>45</v>
      </c>
      <c r="L216" s="21" t="s">
        <v>12</v>
      </c>
      <c r="M216" s="21" t="s">
        <v>17</v>
      </c>
      <c r="N216" s="21" t="s">
        <v>20</v>
      </c>
      <c r="O216" s="21" t="s">
        <v>11</v>
      </c>
      <c r="P216" s="21" t="s">
        <v>18</v>
      </c>
      <c r="Q216" s="21" t="s">
        <v>10</v>
      </c>
      <c r="R216" s="99" t="s">
        <v>91</v>
      </c>
      <c r="S216" s="100" t="s">
        <v>33</v>
      </c>
      <c r="T216" s="25"/>
      <c r="U216" s="25">
        <f>100242+5275.9</f>
        <v>105517.9</v>
      </c>
      <c r="V216" s="25">
        <f>114567.7+6029.9</f>
        <v>120597.59999999999</v>
      </c>
      <c r="W216" s="25">
        <f>118111.1+6216.4</f>
        <v>124327.5</v>
      </c>
      <c r="X216" s="25">
        <v>118111.1</v>
      </c>
      <c r="Y216" s="24"/>
      <c r="Z216" s="25">
        <f t="shared" si="22"/>
        <v>468554.1</v>
      </c>
      <c r="AA216" s="23">
        <v>2025</v>
      </c>
      <c r="AB216" s="73"/>
      <c r="AC216" s="43"/>
      <c r="AD216" s="17"/>
      <c r="AE216" s="1"/>
      <c r="AF216" s="1"/>
    </row>
    <row r="217" spans="1:32" s="10" customFormat="1" ht="30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7" t="s">
        <v>68</v>
      </c>
      <c r="S217" s="6" t="s">
        <v>30</v>
      </c>
      <c r="T217" s="8"/>
      <c r="U217" s="8">
        <v>1</v>
      </c>
      <c r="V217" s="8">
        <v>1</v>
      </c>
      <c r="W217" s="8">
        <v>1</v>
      </c>
      <c r="X217" s="8">
        <v>1</v>
      </c>
      <c r="Y217" s="8"/>
      <c r="Z217" s="4">
        <v>1</v>
      </c>
      <c r="AA217" s="6">
        <v>2025</v>
      </c>
      <c r="AB217" s="73"/>
      <c r="AC217" s="43"/>
      <c r="AD217" s="17"/>
      <c r="AE217" s="1"/>
      <c r="AF217" s="1"/>
    </row>
    <row r="218" spans="1:32" s="10" customFormat="1" ht="60" x14ac:dyDescent="0.25">
      <c r="A218" s="21" t="s">
        <v>10</v>
      </c>
      <c r="B218" s="21" t="s">
        <v>11</v>
      </c>
      <c r="C218" s="21" t="s">
        <v>12</v>
      </c>
      <c r="D218" s="21" t="s">
        <v>10</v>
      </c>
      <c r="E218" s="21" t="s">
        <v>20</v>
      </c>
      <c r="F218" s="21" t="s">
        <v>10</v>
      </c>
      <c r="G218" s="21" t="s">
        <v>19</v>
      </c>
      <c r="H218" s="21" t="s">
        <v>10</v>
      </c>
      <c r="I218" s="21" t="s">
        <v>18</v>
      </c>
      <c r="J218" s="21" t="s">
        <v>11</v>
      </c>
      <c r="K218" s="21" t="s">
        <v>10</v>
      </c>
      <c r="L218" s="21" t="s">
        <v>21</v>
      </c>
      <c r="M218" s="21" t="s">
        <v>19</v>
      </c>
      <c r="N218" s="21" t="s">
        <v>19</v>
      </c>
      <c r="O218" s="21" t="s">
        <v>19</v>
      </c>
      <c r="P218" s="21" t="s">
        <v>19</v>
      </c>
      <c r="Q218" s="21" t="s">
        <v>19</v>
      </c>
      <c r="R218" s="22" t="s">
        <v>97</v>
      </c>
      <c r="S218" s="23" t="s">
        <v>33</v>
      </c>
      <c r="T218" s="25">
        <f>55000+50+119.7</f>
        <v>55169.7</v>
      </c>
      <c r="U218" s="25">
        <f>45213.9-30865.5+3755.4-80.1+315.3</f>
        <v>18339.000000000004</v>
      </c>
      <c r="V218" s="56"/>
      <c r="W218" s="24"/>
      <c r="X218" s="24"/>
      <c r="Y218" s="24"/>
      <c r="Z218" s="25">
        <f>T218+U218</f>
        <v>73508.7</v>
      </c>
      <c r="AA218" s="23">
        <v>2022</v>
      </c>
      <c r="AB218" s="73"/>
      <c r="AC218" s="43"/>
      <c r="AD218" s="17"/>
      <c r="AE218" s="1"/>
      <c r="AF218" s="1"/>
    </row>
    <row r="219" spans="1:32" s="10" customFormat="1" ht="30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7" t="s">
        <v>98</v>
      </c>
      <c r="S219" s="6" t="s">
        <v>30</v>
      </c>
      <c r="T219" s="8">
        <v>13</v>
      </c>
      <c r="U219" s="8">
        <v>7</v>
      </c>
      <c r="V219" s="57"/>
      <c r="W219" s="8"/>
      <c r="X219" s="8"/>
      <c r="Y219" s="8"/>
      <c r="Z219" s="4">
        <f>T219+U219+V219+W219+X219+Y219</f>
        <v>20</v>
      </c>
      <c r="AA219" s="6">
        <v>2022</v>
      </c>
      <c r="AB219" s="73"/>
      <c r="AC219" s="43"/>
      <c r="AD219" s="17"/>
      <c r="AE219" s="1"/>
      <c r="AF219" s="1"/>
    </row>
    <row r="220" spans="1:32" s="10" customFormat="1" ht="27" customHeight="1" x14ac:dyDescent="0.25">
      <c r="A220" s="21" t="s">
        <v>10</v>
      </c>
      <c r="B220" s="21" t="s">
        <v>11</v>
      </c>
      <c r="C220" s="21" t="s">
        <v>12</v>
      </c>
      <c r="D220" s="21" t="s">
        <v>10</v>
      </c>
      <c r="E220" s="21" t="s">
        <v>20</v>
      </c>
      <c r="F220" s="21" t="s">
        <v>10</v>
      </c>
      <c r="G220" s="21" t="s">
        <v>19</v>
      </c>
      <c r="H220" s="21" t="s">
        <v>10</v>
      </c>
      <c r="I220" s="21" t="s">
        <v>18</v>
      </c>
      <c r="J220" s="21" t="s">
        <v>11</v>
      </c>
      <c r="K220" s="21" t="s">
        <v>10</v>
      </c>
      <c r="L220" s="21" t="s">
        <v>21</v>
      </c>
      <c r="M220" s="21" t="s">
        <v>19</v>
      </c>
      <c r="N220" s="21" t="s">
        <v>19</v>
      </c>
      <c r="O220" s="21" t="s">
        <v>19</v>
      </c>
      <c r="P220" s="21" t="s">
        <v>19</v>
      </c>
      <c r="Q220" s="21" t="s">
        <v>19</v>
      </c>
      <c r="R220" s="121" t="s">
        <v>130</v>
      </c>
      <c r="S220" s="124" t="s">
        <v>33</v>
      </c>
      <c r="T220" s="25">
        <f>T221+T222</f>
        <v>18253.2</v>
      </c>
      <c r="U220" s="60"/>
      <c r="V220" s="60"/>
      <c r="W220" s="25"/>
      <c r="X220" s="24"/>
      <c r="Y220" s="24"/>
      <c r="Z220" s="25">
        <f>T220+U220+V220+W220+X220+Y220</f>
        <v>18253.2</v>
      </c>
      <c r="AA220" s="23">
        <v>2021</v>
      </c>
      <c r="AB220" s="76"/>
      <c r="AC220" s="43"/>
      <c r="AD220" s="17"/>
      <c r="AE220" s="1"/>
      <c r="AF220" s="1"/>
    </row>
    <row r="221" spans="1:32" s="10" customFormat="1" ht="27" customHeight="1" x14ac:dyDescent="0.25">
      <c r="A221" s="21" t="s">
        <v>10</v>
      </c>
      <c r="B221" s="21" t="s">
        <v>11</v>
      </c>
      <c r="C221" s="21" t="s">
        <v>12</v>
      </c>
      <c r="D221" s="21" t="s">
        <v>10</v>
      </c>
      <c r="E221" s="21" t="s">
        <v>20</v>
      </c>
      <c r="F221" s="21" t="s">
        <v>10</v>
      </c>
      <c r="G221" s="21" t="s">
        <v>19</v>
      </c>
      <c r="H221" s="21" t="s">
        <v>10</v>
      </c>
      <c r="I221" s="21" t="s">
        <v>18</v>
      </c>
      <c r="J221" s="21" t="s">
        <v>11</v>
      </c>
      <c r="K221" s="21" t="s">
        <v>10</v>
      </c>
      <c r="L221" s="21" t="s">
        <v>21</v>
      </c>
      <c r="M221" s="21" t="s">
        <v>40</v>
      </c>
      <c r="N221" s="21" t="s">
        <v>10</v>
      </c>
      <c r="O221" s="21" t="s">
        <v>18</v>
      </c>
      <c r="P221" s="21" t="s">
        <v>17</v>
      </c>
      <c r="Q221" s="21" t="s">
        <v>116</v>
      </c>
      <c r="R221" s="122"/>
      <c r="S221" s="125"/>
      <c r="T221" s="24">
        <f>3710-296.8</f>
        <v>3413.2</v>
      </c>
      <c r="U221" s="56"/>
      <c r="V221" s="60"/>
      <c r="W221" s="25"/>
      <c r="X221" s="24"/>
      <c r="Y221" s="24"/>
      <c r="Z221" s="25">
        <f t="shared" ref="Z221:Z222" si="26">T221+U221+V221+W221+X221+Y221</f>
        <v>3413.2</v>
      </c>
      <c r="AA221" s="23">
        <v>2021</v>
      </c>
      <c r="AB221" s="76"/>
      <c r="AC221" s="43"/>
      <c r="AD221" s="17"/>
      <c r="AE221" s="1"/>
      <c r="AF221" s="1"/>
    </row>
    <row r="222" spans="1:32" s="10" customFormat="1" ht="27.6" customHeight="1" x14ac:dyDescent="0.25">
      <c r="A222" s="21" t="s">
        <v>10</v>
      </c>
      <c r="B222" s="21" t="s">
        <v>11</v>
      </c>
      <c r="C222" s="21" t="s">
        <v>12</v>
      </c>
      <c r="D222" s="21" t="s">
        <v>10</v>
      </c>
      <c r="E222" s="21" t="s">
        <v>20</v>
      </c>
      <c r="F222" s="21" t="s">
        <v>10</v>
      </c>
      <c r="G222" s="21" t="s">
        <v>19</v>
      </c>
      <c r="H222" s="21" t="s">
        <v>10</v>
      </c>
      <c r="I222" s="21" t="s">
        <v>18</v>
      </c>
      <c r="J222" s="21" t="s">
        <v>11</v>
      </c>
      <c r="K222" s="21" t="s">
        <v>10</v>
      </c>
      <c r="L222" s="21" t="s">
        <v>21</v>
      </c>
      <c r="M222" s="21" t="s">
        <v>11</v>
      </c>
      <c r="N222" s="21" t="s">
        <v>10</v>
      </c>
      <c r="O222" s="21" t="s">
        <v>18</v>
      </c>
      <c r="P222" s="21" t="s">
        <v>17</v>
      </c>
      <c r="Q222" s="21" t="s">
        <v>116</v>
      </c>
      <c r="R222" s="123"/>
      <c r="S222" s="126"/>
      <c r="T222" s="24">
        <v>14840</v>
      </c>
      <c r="U222" s="56"/>
      <c r="V222" s="60"/>
      <c r="W222" s="25"/>
      <c r="X222" s="24"/>
      <c r="Y222" s="24"/>
      <c r="Z222" s="25">
        <f t="shared" si="26"/>
        <v>14840</v>
      </c>
      <c r="AA222" s="23">
        <v>2021</v>
      </c>
      <c r="AB222" s="76"/>
      <c r="AC222" s="43"/>
      <c r="AD222" s="17"/>
      <c r="AE222" s="1"/>
      <c r="AF222" s="1"/>
    </row>
    <row r="223" spans="1:32" s="10" customFormat="1" ht="30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7" t="s">
        <v>131</v>
      </c>
      <c r="S223" s="6" t="s">
        <v>30</v>
      </c>
      <c r="T223" s="8">
        <v>7</v>
      </c>
      <c r="U223" s="57"/>
      <c r="V223" s="57"/>
      <c r="W223" s="8"/>
      <c r="X223" s="8"/>
      <c r="Y223" s="8"/>
      <c r="Z223" s="4">
        <v>7</v>
      </c>
      <c r="AA223" s="6">
        <v>2021</v>
      </c>
      <c r="AB223" s="73"/>
      <c r="AC223" s="43"/>
      <c r="AD223" s="17"/>
      <c r="AE223" s="1"/>
      <c r="AF223" s="1"/>
    </row>
    <row r="224" spans="1:32" s="10" customFormat="1" ht="46.9" customHeight="1" x14ac:dyDescent="0.25">
      <c r="A224" s="21" t="s">
        <v>10</v>
      </c>
      <c r="B224" s="21" t="s">
        <v>11</v>
      </c>
      <c r="C224" s="21" t="s">
        <v>12</v>
      </c>
      <c r="D224" s="21" t="s">
        <v>10</v>
      </c>
      <c r="E224" s="21" t="s">
        <v>20</v>
      </c>
      <c r="F224" s="21" t="s">
        <v>10</v>
      </c>
      <c r="G224" s="21" t="s">
        <v>19</v>
      </c>
      <c r="H224" s="21" t="s">
        <v>10</v>
      </c>
      <c r="I224" s="21" t="s">
        <v>18</v>
      </c>
      <c r="J224" s="21" t="s">
        <v>11</v>
      </c>
      <c r="K224" s="21" t="s">
        <v>10</v>
      </c>
      <c r="L224" s="21" t="s">
        <v>21</v>
      </c>
      <c r="M224" s="21" t="s">
        <v>19</v>
      </c>
      <c r="N224" s="21" t="s">
        <v>19</v>
      </c>
      <c r="O224" s="21" t="s">
        <v>19</v>
      </c>
      <c r="P224" s="21" t="s">
        <v>19</v>
      </c>
      <c r="Q224" s="21" t="s">
        <v>19</v>
      </c>
      <c r="R224" s="22" t="s">
        <v>132</v>
      </c>
      <c r="S224" s="23" t="s">
        <v>33</v>
      </c>
      <c r="T224" s="25"/>
      <c r="U224" s="25">
        <f>4848.2-112.5-1350.7</f>
        <v>3385</v>
      </c>
      <c r="V224" s="25">
        <v>7000</v>
      </c>
      <c r="W224" s="25">
        <v>7000</v>
      </c>
      <c r="X224" s="25">
        <v>7000</v>
      </c>
      <c r="Y224" s="24"/>
      <c r="Z224" s="25">
        <f>T224+U224+V224+W224+X224+Y224</f>
        <v>24385</v>
      </c>
      <c r="AA224" s="23">
        <v>2025</v>
      </c>
      <c r="AB224" s="76"/>
      <c r="AC224" s="43"/>
      <c r="AD224" s="17"/>
      <c r="AE224" s="1"/>
      <c r="AF224" s="1"/>
    </row>
    <row r="225" spans="1:32" s="10" customFormat="1" ht="30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7" t="s">
        <v>142</v>
      </c>
      <c r="S225" s="6" t="s">
        <v>30</v>
      </c>
      <c r="T225" s="8"/>
      <c r="U225" s="8">
        <v>7</v>
      </c>
      <c r="V225" s="8">
        <v>7</v>
      </c>
      <c r="W225" s="8">
        <v>7</v>
      </c>
      <c r="X225" s="8">
        <v>7</v>
      </c>
      <c r="Y225" s="8"/>
      <c r="Z225" s="4">
        <v>7</v>
      </c>
      <c r="AA225" s="6">
        <v>2025</v>
      </c>
      <c r="AB225" s="73"/>
      <c r="AC225" s="43"/>
      <c r="AD225" s="17"/>
      <c r="AE225" s="1"/>
      <c r="AF225" s="1"/>
    </row>
    <row r="226" spans="1:32" s="10" customFormat="1" ht="45" x14ac:dyDescent="0.25">
      <c r="A226" s="21" t="s">
        <v>10</v>
      </c>
      <c r="B226" s="21" t="s">
        <v>11</v>
      </c>
      <c r="C226" s="21" t="s">
        <v>12</v>
      </c>
      <c r="D226" s="21" t="s">
        <v>10</v>
      </c>
      <c r="E226" s="21" t="s">
        <v>20</v>
      </c>
      <c r="F226" s="21" t="s">
        <v>10</v>
      </c>
      <c r="G226" s="21" t="s">
        <v>19</v>
      </c>
      <c r="H226" s="21" t="s">
        <v>10</v>
      </c>
      <c r="I226" s="21" t="s">
        <v>18</v>
      </c>
      <c r="J226" s="21" t="s">
        <v>11</v>
      </c>
      <c r="K226" s="21" t="s">
        <v>10</v>
      </c>
      <c r="L226" s="21" t="s">
        <v>21</v>
      </c>
      <c r="M226" s="21" t="s">
        <v>19</v>
      </c>
      <c r="N226" s="21" t="s">
        <v>19</v>
      </c>
      <c r="O226" s="21" t="s">
        <v>19</v>
      </c>
      <c r="P226" s="21" t="s">
        <v>19</v>
      </c>
      <c r="Q226" s="21" t="s">
        <v>19</v>
      </c>
      <c r="R226" s="22" t="s">
        <v>147</v>
      </c>
      <c r="S226" s="23" t="s">
        <v>33</v>
      </c>
      <c r="T226" s="25"/>
      <c r="U226" s="25">
        <f>7380.4-5763-600.4</f>
        <v>1016.9999999999997</v>
      </c>
      <c r="V226" s="25">
        <v>5763</v>
      </c>
      <c r="W226" s="25"/>
      <c r="X226" s="24"/>
      <c r="Y226" s="24"/>
      <c r="Z226" s="25">
        <f>T226+U226+V226+W226+X226+Y226</f>
        <v>6780</v>
      </c>
      <c r="AA226" s="23">
        <v>2023</v>
      </c>
      <c r="AB226" s="76"/>
      <c r="AC226" s="43"/>
      <c r="AD226" s="17"/>
      <c r="AE226" s="1"/>
      <c r="AF226" s="1"/>
    </row>
    <row r="227" spans="1:32" s="10" customFormat="1" ht="30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7" t="s">
        <v>156</v>
      </c>
      <c r="S227" s="6" t="s">
        <v>30</v>
      </c>
      <c r="T227" s="8"/>
      <c r="U227" s="57"/>
      <c r="V227" s="8">
        <v>1</v>
      </c>
      <c r="W227" s="8"/>
      <c r="X227" s="8"/>
      <c r="Y227" s="8"/>
      <c r="Z227" s="4">
        <f>V227</f>
        <v>1</v>
      </c>
      <c r="AA227" s="6">
        <v>2023</v>
      </c>
      <c r="AB227" s="78"/>
      <c r="AC227" s="43"/>
      <c r="AD227" s="17"/>
      <c r="AE227" s="1"/>
      <c r="AF227" s="1"/>
    </row>
    <row r="228" spans="1:32" s="16" customFormat="1" ht="30" x14ac:dyDescent="0.25">
      <c r="A228" s="13"/>
      <c r="B228" s="13"/>
      <c r="C228" s="13"/>
      <c r="D228" s="13"/>
      <c r="E228" s="13"/>
      <c r="F228" s="13"/>
      <c r="G228" s="13"/>
      <c r="H228" s="13"/>
      <c r="I228" s="14"/>
      <c r="J228" s="13"/>
      <c r="K228" s="13"/>
      <c r="L228" s="13"/>
      <c r="M228" s="13"/>
      <c r="N228" s="13"/>
      <c r="O228" s="13"/>
      <c r="P228" s="13"/>
      <c r="Q228" s="13"/>
      <c r="R228" s="7" t="s">
        <v>178</v>
      </c>
      <c r="S228" s="6" t="s">
        <v>1</v>
      </c>
      <c r="T228" s="61"/>
      <c r="U228" s="5">
        <f>U226/Z226*100</f>
        <v>14.999999999999995</v>
      </c>
      <c r="V228" s="5">
        <f>V226/Z226*100</f>
        <v>85</v>
      </c>
      <c r="W228" s="5"/>
      <c r="X228" s="5"/>
      <c r="Y228" s="5"/>
      <c r="Z228" s="3">
        <f>U228+V228</f>
        <v>100</v>
      </c>
      <c r="AA228" s="6">
        <v>2023</v>
      </c>
      <c r="AB228" s="74"/>
      <c r="AC228" s="64"/>
      <c r="AD228" s="65"/>
      <c r="AE228" s="66"/>
    </row>
    <row r="229" spans="1:32" s="10" customFormat="1" ht="30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5" t="s">
        <v>50</v>
      </c>
      <c r="S229" s="36" t="s">
        <v>33</v>
      </c>
      <c r="T229" s="37">
        <f t="shared" ref="T229:Z229" si="27">T230</f>
        <v>0</v>
      </c>
      <c r="U229" s="37">
        <f t="shared" si="27"/>
        <v>0</v>
      </c>
      <c r="V229" s="37">
        <f t="shared" si="27"/>
        <v>0</v>
      </c>
      <c r="W229" s="37">
        <f t="shared" si="27"/>
        <v>0</v>
      </c>
      <c r="X229" s="37">
        <f t="shared" si="27"/>
        <v>0</v>
      </c>
      <c r="Y229" s="37">
        <f t="shared" si="27"/>
        <v>0</v>
      </c>
      <c r="Z229" s="37">
        <f t="shared" si="27"/>
        <v>0</v>
      </c>
      <c r="AA229" s="36">
        <v>2026</v>
      </c>
      <c r="AB229" s="78"/>
      <c r="AC229" s="17"/>
      <c r="AD229" s="17"/>
      <c r="AE229" s="1"/>
      <c r="AF229" s="1"/>
    </row>
    <row r="230" spans="1:32" s="1" customFormat="1" ht="42.75" x14ac:dyDescent="0.25">
      <c r="A230" s="38"/>
      <c r="B230" s="38"/>
      <c r="C230" s="38"/>
      <c r="D230" s="38"/>
      <c r="E230" s="38"/>
      <c r="F230" s="38"/>
      <c r="G230" s="38"/>
      <c r="H230" s="38"/>
      <c r="I230" s="39"/>
      <c r="J230" s="39"/>
      <c r="K230" s="39"/>
      <c r="L230" s="39"/>
      <c r="M230" s="39"/>
      <c r="N230" s="39"/>
      <c r="O230" s="39"/>
      <c r="P230" s="39"/>
      <c r="Q230" s="39"/>
      <c r="R230" s="40" t="s">
        <v>16</v>
      </c>
      <c r="S230" s="41" t="s">
        <v>33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42">
        <v>0</v>
      </c>
      <c r="Z230" s="42">
        <v>0</v>
      </c>
      <c r="AA230" s="41">
        <v>2026</v>
      </c>
      <c r="AB230" s="78"/>
      <c r="AC230" s="17"/>
      <c r="AD230" s="17"/>
    </row>
    <row r="231" spans="1:32" s="1" customFormat="1" ht="45" x14ac:dyDescent="0.25">
      <c r="A231" s="6"/>
      <c r="B231" s="6"/>
      <c r="C231" s="6"/>
      <c r="D231" s="6"/>
      <c r="E231" s="6"/>
      <c r="F231" s="6"/>
      <c r="G231" s="6"/>
      <c r="H231" s="6"/>
      <c r="I231" s="14"/>
      <c r="J231" s="14"/>
      <c r="K231" s="14"/>
      <c r="L231" s="14"/>
      <c r="M231" s="14"/>
      <c r="N231" s="14"/>
      <c r="O231" s="14"/>
      <c r="P231" s="14"/>
      <c r="Q231" s="14"/>
      <c r="R231" s="7" t="s">
        <v>94</v>
      </c>
      <c r="S231" s="6" t="s">
        <v>30</v>
      </c>
      <c r="T231" s="9">
        <v>12</v>
      </c>
      <c r="U231" s="9">
        <v>12</v>
      </c>
      <c r="V231" s="9">
        <v>12</v>
      </c>
      <c r="W231" s="9">
        <v>12</v>
      </c>
      <c r="X231" s="9">
        <v>12</v>
      </c>
      <c r="Y231" s="9">
        <v>12</v>
      </c>
      <c r="Z231" s="4">
        <f>T231+U231+V231+W231+X231+Y231</f>
        <v>72</v>
      </c>
      <c r="AA231" s="6">
        <v>2026</v>
      </c>
      <c r="AB231" s="78"/>
      <c r="AC231" s="17"/>
      <c r="AD231" s="17"/>
    </row>
    <row r="232" spans="1:32" s="1" customFormat="1" ht="60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2" t="s">
        <v>95</v>
      </c>
      <c r="S232" s="23" t="s">
        <v>27</v>
      </c>
      <c r="T232" s="21" t="s">
        <v>11</v>
      </c>
      <c r="U232" s="21" t="s">
        <v>11</v>
      </c>
      <c r="V232" s="21" t="s">
        <v>11</v>
      </c>
      <c r="W232" s="21" t="s">
        <v>11</v>
      </c>
      <c r="X232" s="21" t="s">
        <v>11</v>
      </c>
      <c r="Y232" s="21" t="s">
        <v>11</v>
      </c>
      <c r="Z232" s="51" t="s">
        <v>11</v>
      </c>
      <c r="AA232" s="23">
        <v>2026</v>
      </c>
      <c r="AB232" s="78"/>
      <c r="AC232" s="17"/>
      <c r="AD232" s="17"/>
    </row>
    <row r="233" spans="1:32" s="1" customFormat="1" ht="30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7" t="s">
        <v>90</v>
      </c>
      <c r="S233" s="6" t="s">
        <v>30</v>
      </c>
      <c r="T233" s="9">
        <v>15</v>
      </c>
      <c r="U233" s="9">
        <v>15</v>
      </c>
      <c r="V233" s="9">
        <v>15</v>
      </c>
      <c r="W233" s="9">
        <v>15</v>
      </c>
      <c r="X233" s="9">
        <v>15</v>
      </c>
      <c r="Y233" s="9">
        <v>15</v>
      </c>
      <c r="Z233" s="4">
        <f>T233+U233+V233+W233+X233+Y233</f>
        <v>90</v>
      </c>
      <c r="AA233" s="6">
        <v>2026</v>
      </c>
      <c r="AB233" s="78"/>
      <c r="AC233" s="17"/>
      <c r="AD233" s="17"/>
    </row>
    <row r="234" spans="1:32" ht="44.25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2" t="s">
        <v>82</v>
      </c>
      <c r="S234" s="23" t="s">
        <v>27</v>
      </c>
      <c r="T234" s="50">
        <v>1</v>
      </c>
      <c r="U234" s="50">
        <v>1</v>
      </c>
      <c r="V234" s="50">
        <v>1</v>
      </c>
      <c r="W234" s="50">
        <v>1</v>
      </c>
      <c r="X234" s="50">
        <v>1</v>
      </c>
      <c r="Y234" s="50">
        <v>1</v>
      </c>
      <c r="Z234" s="52">
        <v>1</v>
      </c>
      <c r="AA234" s="23">
        <v>2026</v>
      </c>
      <c r="AB234" s="78"/>
    </row>
    <row r="235" spans="1:32" ht="30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7" t="s">
        <v>83</v>
      </c>
      <c r="S235" s="6" t="s">
        <v>31</v>
      </c>
      <c r="T235" s="8">
        <v>160</v>
      </c>
      <c r="U235" s="8">
        <v>170</v>
      </c>
      <c r="V235" s="8">
        <v>160</v>
      </c>
      <c r="W235" s="8">
        <v>160</v>
      </c>
      <c r="X235" s="8">
        <v>160</v>
      </c>
      <c r="Y235" s="8">
        <v>160</v>
      </c>
      <c r="Z235" s="4">
        <f>T235+U235+V235+W235+X235+Y235</f>
        <v>970</v>
      </c>
      <c r="AA235" s="6">
        <v>2026</v>
      </c>
      <c r="AB235" s="78"/>
    </row>
    <row r="236" spans="1:32" ht="71.25" x14ac:dyDescent="0.25">
      <c r="A236" s="38"/>
      <c r="B236" s="38"/>
      <c r="C236" s="38"/>
      <c r="D236" s="38"/>
      <c r="E236" s="38"/>
      <c r="F236" s="38"/>
      <c r="G236" s="38"/>
      <c r="H236" s="38"/>
      <c r="I236" s="39"/>
      <c r="J236" s="39"/>
      <c r="K236" s="39"/>
      <c r="L236" s="39"/>
      <c r="M236" s="39"/>
      <c r="N236" s="39"/>
      <c r="O236" s="39"/>
      <c r="P236" s="39"/>
      <c r="Q236" s="39"/>
      <c r="R236" s="40" t="s">
        <v>28</v>
      </c>
      <c r="S236" s="38" t="s">
        <v>33</v>
      </c>
      <c r="T236" s="42">
        <v>0</v>
      </c>
      <c r="U236" s="42">
        <v>0</v>
      </c>
      <c r="V236" s="42">
        <v>0</v>
      </c>
      <c r="W236" s="42">
        <v>0</v>
      </c>
      <c r="X236" s="42">
        <v>0</v>
      </c>
      <c r="Y236" s="42">
        <v>0</v>
      </c>
      <c r="Z236" s="42">
        <v>0</v>
      </c>
      <c r="AA236" s="41">
        <v>2026</v>
      </c>
      <c r="AB236" s="78"/>
    </row>
    <row r="237" spans="1:32" ht="30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7" t="s">
        <v>84</v>
      </c>
      <c r="S237" s="6" t="s">
        <v>31</v>
      </c>
      <c r="T237" s="9">
        <f t="shared" ref="T237:Y237" si="28">T242</f>
        <v>530</v>
      </c>
      <c r="U237" s="9">
        <f t="shared" si="28"/>
        <v>540</v>
      </c>
      <c r="V237" s="9">
        <f t="shared" si="28"/>
        <v>500</v>
      </c>
      <c r="W237" s="9">
        <f t="shared" si="28"/>
        <v>500</v>
      </c>
      <c r="X237" s="9">
        <f>X242</f>
        <v>500</v>
      </c>
      <c r="Y237" s="9">
        <f t="shared" si="28"/>
        <v>500</v>
      </c>
      <c r="Z237" s="4">
        <f>T237+U237+V237+W237+X237+Y237</f>
        <v>3070</v>
      </c>
      <c r="AA237" s="6">
        <v>2026</v>
      </c>
      <c r="AB237" s="78"/>
    </row>
    <row r="238" spans="1:32" s="1" customFormat="1" ht="30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7" t="s">
        <v>96</v>
      </c>
      <c r="S238" s="6" t="s">
        <v>33</v>
      </c>
      <c r="T238" s="5">
        <f t="shared" ref="T238:Y238" si="29">T242*1.6</f>
        <v>848</v>
      </c>
      <c r="U238" s="5">
        <f t="shared" si="29"/>
        <v>864</v>
      </c>
      <c r="V238" s="5">
        <f t="shared" si="29"/>
        <v>800</v>
      </c>
      <c r="W238" s="5">
        <f t="shared" si="29"/>
        <v>800</v>
      </c>
      <c r="X238" s="5">
        <f t="shared" si="29"/>
        <v>800</v>
      </c>
      <c r="Y238" s="5">
        <f t="shared" si="29"/>
        <v>800</v>
      </c>
      <c r="Z238" s="3">
        <f>T238+U238+V238+W238+X238+Y238</f>
        <v>4912</v>
      </c>
      <c r="AA238" s="6">
        <v>2026</v>
      </c>
      <c r="AB238" s="78"/>
      <c r="AC238" s="17"/>
      <c r="AD238" s="17"/>
    </row>
    <row r="239" spans="1:32" ht="41.4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2" t="s">
        <v>85</v>
      </c>
      <c r="S239" s="23" t="s">
        <v>27</v>
      </c>
      <c r="T239" s="50">
        <v>1</v>
      </c>
      <c r="U239" s="50">
        <v>1</v>
      </c>
      <c r="V239" s="50">
        <v>1</v>
      </c>
      <c r="W239" s="50">
        <v>1</v>
      </c>
      <c r="X239" s="50">
        <v>1</v>
      </c>
      <c r="Y239" s="50">
        <v>1</v>
      </c>
      <c r="Z239" s="52">
        <v>1</v>
      </c>
      <c r="AA239" s="23">
        <v>2026</v>
      </c>
      <c r="AB239" s="78"/>
    </row>
    <row r="240" spans="1:32" ht="30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7" t="s">
        <v>86</v>
      </c>
      <c r="S240" s="6" t="s">
        <v>31</v>
      </c>
      <c r="T240" s="9">
        <v>2200</v>
      </c>
      <c r="U240" s="9">
        <v>350</v>
      </c>
      <c r="V240" s="9">
        <v>300</v>
      </c>
      <c r="W240" s="9">
        <v>300</v>
      </c>
      <c r="X240" s="9">
        <v>300</v>
      </c>
      <c r="Y240" s="9">
        <v>300</v>
      </c>
      <c r="Z240" s="4">
        <f>T240+U240+V240+W240+X240+Y240</f>
        <v>3750</v>
      </c>
      <c r="AA240" s="6">
        <v>2026</v>
      </c>
      <c r="AB240" s="78"/>
    </row>
    <row r="241" spans="1:32" s="10" customFormat="1" ht="60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2" t="s">
        <v>87</v>
      </c>
      <c r="S241" s="23" t="s">
        <v>27</v>
      </c>
      <c r="T241" s="50">
        <v>1</v>
      </c>
      <c r="U241" s="50">
        <v>1</v>
      </c>
      <c r="V241" s="50">
        <v>1</v>
      </c>
      <c r="W241" s="50">
        <v>1</v>
      </c>
      <c r="X241" s="50">
        <v>1</v>
      </c>
      <c r="Y241" s="50">
        <v>1</v>
      </c>
      <c r="Z241" s="52">
        <v>1</v>
      </c>
      <c r="AA241" s="23">
        <v>2026</v>
      </c>
      <c r="AB241" s="78"/>
      <c r="AC241" s="17"/>
      <c r="AD241" s="17"/>
      <c r="AE241" s="1"/>
      <c r="AF241" s="1"/>
    </row>
    <row r="242" spans="1:32" s="1" customFormat="1" ht="45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7" t="s">
        <v>88</v>
      </c>
      <c r="S242" s="6" t="s">
        <v>31</v>
      </c>
      <c r="T242" s="9">
        <v>530</v>
      </c>
      <c r="U242" s="9">
        <v>540</v>
      </c>
      <c r="V242" s="9">
        <v>500</v>
      </c>
      <c r="W242" s="9">
        <v>500</v>
      </c>
      <c r="X242" s="9">
        <v>500</v>
      </c>
      <c r="Y242" s="9">
        <v>500</v>
      </c>
      <c r="Z242" s="4">
        <f>T242+U242+V242+W242+X242+Y242</f>
        <v>3070</v>
      </c>
      <c r="AA242" s="8">
        <v>2026</v>
      </c>
      <c r="AB242" s="78"/>
      <c r="AC242" s="17"/>
      <c r="AD242" s="17"/>
    </row>
    <row r="243" spans="1:32" s="2" customFormat="1" ht="45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2" t="s">
        <v>89</v>
      </c>
      <c r="S243" s="23" t="s">
        <v>27</v>
      </c>
      <c r="T243" s="50">
        <v>1</v>
      </c>
      <c r="U243" s="50">
        <v>1</v>
      </c>
      <c r="V243" s="50">
        <v>1</v>
      </c>
      <c r="W243" s="50">
        <v>1</v>
      </c>
      <c r="X243" s="50">
        <v>1</v>
      </c>
      <c r="Y243" s="50">
        <v>1</v>
      </c>
      <c r="Z243" s="52">
        <v>1</v>
      </c>
      <c r="AA243" s="23">
        <v>2026</v>
      </c>
      <c r="AB243" s="81"/>
      <c r="AC243" s="15"/>
      <c r="AD243" s="15"/>
      <c r="AE243" s="16"/>
      <c r="AF243" s="16"/>
    </row>
    <row r="244" spans="1:32" s="10" customFormat="1" ht="44.2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2" t="s">
        <v>104</v>
      </c>
      <c r="S244" s="6" t="s">
        <v>31</v>
      </c>
      <c r="T244" s="9">
        <v>250</v>
      </c>
      <c r="U244" s="9">
        <v>2265</v>
      </c>
      <c r="V244" s="9">
        <v>1000</v>
      </c>
      <c r="W244" s="9">
        <v>1000</v>
      </c>
      <c r="X244" s="9">
        <v>1000</v>
      </c>
      <c r="Y244" s="9">
        <v>1000</v>
      </c>
      <c r="Z244" s="4">
        <f>T244+U244+V244+W244+X244+Y244</f>
        <v>6515</v>
      </c>
      <c r="AA244" s="6">
        <v>2026</v>
      </c>
      <c r="AB244" s="78"/>
      <c r="AC244" s="17"/>
      <c r="AD244" s="17"/>
      <c r="AE244" s="1"/>
      <c r="AF244" s="1"/>
    </row>
    <row r="245" spans="1:32" s="10" customFormat="1" x14ac:dyDescent="0.25">
      <c r="A245" s="131" t="s">
        <v>29</v>
      </c>
      <c r="B245" s="131"/>
      <c r="C245" s="131"/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  <c r="AA245" s="131"/>
      <c r="AB245" s="73"/>
      <c r="AC245" s="17"/>
      <c r="AD245" s="17"/>
      <c r="AE245" s="1"/>
      <c r="AF245" s="1"/>
    </row>
    <row r="246" spans="1:32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54"/>
      <c r="S246" s="54"/>
      <c r="T246" s="89"/>
      <c r="U246" s="116"/>
      <c r="V246" s="116"/>
      <c r="W246" s="89"/>
      <c r="X246" s="89"/>
      <c r="Y246" s="89"/>
      <c r="Z246" s="54"/>
      <c r="AA246" s="53" t="s">
        <v>47</v>
      </c>
    </row>
    <row r="247" spans="1:32" x14ac:dyDescent="0.25">
      <c r="A247" s="138" t="s">
        <v>157</v>
      </c>
      <c r="B247" s="138"/>
      <c r="C247" s="138"/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  <c r="Z247" s="138"/>
      <c r="AA247" s="138"/>
    </row>
  </sheetData>
  <mergeCells count="74">
    <mergeCell ref="R220:R222"/>
    <mergeCell ref="S220:S222"/>
    <mergeCell ref="R150:R152"/>
    <mergeCell ref="S150:S152"/>
    <mergeCell ref="R141:R143"/>
    <mergeCell ref="S141:S143"/>
    <mergeCell ref="R162:R164"/>
    <mergeCell ref="S162:S164"/>
    <mergeCell ref="R166:R168"/>
    <mergeCell ref="S166:S168"/>
    <mergeCell ref="R170:R172"/>
    <mergeCell ref="S170:S172"/>
    <mergeCell ref="R90:R92"/>
    <mergeCell ref="S90:S92"/>
    <mergeCell ref="A5:AA5"/>
    <mergeCell ref="A6:AA6"/>
    <mergeCell ref="A8:AA8"/>
    <mergeCell ref="R53:R55"/>
    <mergeCell ref="S53:S55"/>
    <mergeCell ref="R41:R43"/>
    <mergeCell ref="S41:S43"/>
    <mergeCell ref="S110:S112"/>
    <mergeCell ref="R102:R104"/>
    <mergeCell ref="S102:S104"/>
    <mergeCell ref="R106:R108"/>
    <mergeCell ref="S106:S108"/>
    <mergeCell ref="A247:AA247"/>
    <mergeCell ref="R31:R34"/>
    <mergeCell ref="S31:S34"/>
    <mergeCell ref="R80:R82"/>
    <mergeCell ref="S80:S82"/>
    <mergeCell ref="R86:R88"/>
    <mergeCell ref="S86:S88"/>
    <mergeCell ref="R98:R100"/>
    <mergeCell ref="S98:S100"/>
    <mergeCell ref="R48:R51"/>
    <mergeCell ref="S48:S51"/>
    <mergeCell ref="R94:R96"/>
    <mergeCell ref="S94:S96"/>
    <mergeCell ref="R110:R112"/>
    <mergeCell ref="R146:R148"/>
    <mergeCell ref="S146:S148"/>
    <mergeCell ref="V1:AA1"/>
    <mergeCell ref="A245:AA245"/>
    <mergeCell ref="A13:C13"/>
    <mergeCell ref="D13:E13"/>
    <mergeCell ref="F13:G13"/>
    <mergeCell ref="A12:Q12"/>
    <mergeCell ref="H13:Q13"/>
    <mergeCell ref="S12:S13"/>
    <mergeCell ref="R12:R13"/>
    <mergeCell ref="Z12:AA12"/>
    <mergeCell ref="T12:Y12"/>
    <mergeCell ref="A10:AA10"/>
    <mergeCell ref="A9:AA9"/>
    <mergeCell ref="A3:AA3"/>
    <mergeCell ref="V2:AA2"/>
    <mergeCell ref="A4:AA4"/>
    <mergeCell ref="R114:R116"/>
    <mergeCell ref="S114:S116"/>
    <mergeCell ref="R154:R156"/>
    <mergeCell ref="S154:S156"/>
    <mergeCell ref="R158:R160"/>
    <mergeCell ref="S158:S160"/>
    <mergeCell ref="R119:R121"/>
    <mergeCell ref="S119:S121"/>
    <mergeCell ref="R123:R125"/>
    <mergeCell ref="S123:S125"/>
    <mergeCell ref="R136:R138"/>
    <mergeCell ref="S136:S138"/>
    <mergeCell ref="R128:R130"/>
    <mergeCell ref="S128:S130"/>
    <mergeCell ref="R132:R134"/>
    <mergeCell ref="S132:S134"/>
  </mergeCells>
  <pageMargins left="0.39370078740157483" right="0.39370078740157483" top="0.70866141732283472" bottom="0.39370078740157483" header="0" footer="0"/>
  <pageSetup paperSize="9" scale="63" fitToHeight="0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2022-12-29T14:54:37Z</dcterms:modified>
</cp:coreProperties>
</file>